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890" activeTab="2"/>
  </bookViews>
  <sheets>
    <sheet name="Stavební rozpočet" sheetId="1" r:id="rId1"/>
    <sheet name="Krycí list rozpočtu" sheetId="2" r:id="rId2"/>
    <sheet name="VORN" sheetId="3" r:id="rId3"/>
  </sheets>
  <definedNames>
    <definedName name="vorn_sum">'VORN'!$I$37:$I$37</definedName>
  </definedNames>
  <calcPr fullCalcOnLoad="1"/>
</workbook>
</file>

<file path=xl/sharedStrings.xml><?xml version="1.0" encoding="utf-8"?>
<sst xmlns="http://schemas.openxmlformats.org/spreadsheetml/2006/main" count="643" uniqueCount="275">
  <si>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</si>
  <si>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</si>
  <si>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</si>
  <si>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</si>
  <si>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</si>
  <si>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</si>
  <si>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</si>
  <si>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</si>
  <si>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</si>
  <si>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</si>
  <si>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</si>
  <si>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</si>
  <si>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</si>
  <si>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</si>
  <si>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</si>
  <si>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</si>
  <si>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</si>
  <si>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</si>
  <si>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</si>
  <si>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</si>
  <si>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</si>
  <si>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</si>
  <si>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</si>
  <si>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</si>
  <si>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</si>
  <si>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</si>
  <si>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</si>
  <si>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</si>
  <si>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</si>
  <si>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</si>
  <si>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</si>
  <si>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</si>
  <si>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</si>
  <si>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</si>
  <si>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</si>
  <si>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</si>
  <si>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</si>
  <si>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</si>
  <si>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</si>
  <si>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</si>
  <si>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</si>
  <si>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</si>
  <si>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</si>
  <si>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</si>
  <si>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Poznámka:</t>
  </si>
  <si>
    <t>Kód</t>
  </si>
  <si>
    <t>127703201R00</t>
  </si>
  <si>
    <t>127701409R00</t>
  </si>
  <si>
    <t>161101101R00</t>
  </si>
  <si>
    <t>162201102R00</t>
  </si>
  <si>
    <t>174101101R00</t>
  </si>
  <si>
    <t>172103102R00</t>
  </si>
  <si>
    <t>181300010RAA</t>
  </si>
  <si>
    <t>181101131R00</t>
  </si>
  <si>
    <t>181101102R00</t>
  </si>
  <si>
    <t>181006111R00</t>
  </si>
  <si>
    <t>216904212R00</t>
  </si>
  <si>
    <t>279351102R00</t>
  </si>
  <si>
    <t>275316131R00</t>
  </si>
  <si>
    <t>311211126R00</t>
  </si>
  <si>
    <t>311261141R00</t>
  </si>
  <si>
    <t>3899VD</t>
  </si>
  <si>
    <t>38</t>
  </si>
  <si>
    <t>389381001RT3</t>
  </si>
  <si>
    <t>43</t>
  </si>
  <si>
    <t>434191421R00</t>
  </si>
  <si>
    <t>58388010</t>
  </si>
  <si>
    <t>46</t>
  </si>
  <si>
    <t>463211121R00</t>
  </si>
  <si>
    <t>56</t>
  </si>
  <si>
    <t>564671111R00</t>
  </si>
  <si>
    <t>564732111R00</t>
  </si>
  <si>
    <t>564681111R00</t>
  </si>
  <si>
    <t>62</t>
  </si>
  <si>
    <t>627453210RT1</t>
  </si>
  <si>
    <t>63</t>
  </si>
  <si>
    <t>631313411R00</t>
  </si>
  <si>
    <t>632211411R00</t>
  </si>
  <si>
    <t>58380783</t>
  </si>
  <si>
    <t>767</t>
  </si>
  <si>
    <t>767222210R00</t>
  </si>
  <si>
    <t>725291141R00</t>
  </si>
  <si>
    <t>96</t>
  </si>
  <si>
    <t>960321271R00</t>
  </si>
  <si>
    <t>H33</t>
  </si>
  <si>
    <t>998331011R00</t>
  </si>
  <si>
    <t>S</t>
  </si>
  <si>
    <t>979017112R00</t>
  </si>
  <si>
    <t>979081111R00</t>
  </si>
  <si>
    <t>979990101R00</t>
  </si>
  <si>
    <t>ŠKUDLY-oprava Návesního rybníka</t>
  </si>
  <si>
    <t>Zkrácený popis / Varianta</t>
  </si>
  <si>
    <t>Rozměry</t>
  </si>
  <si>
    <t>Odbahnění,Oprava rybníka</t>
  </si>
  <si>
    <t>Odkopávky a prokopávky</t>
  </si>
  <si>
    <t>Výkopávky zářezů pod vodou v hor.1-4</t>
  </si>
  <si>
    <t>Příplatek za lepivost - výkop pod vodou v hor.1-4</t>
  </si>
  <si>
    <t>Přemístění výkopku</t>
  </si>
  <si>
    <t>Svislé přemístění výkopku z hor.1-4 do 2,5 m</t>
  </si>
  <si>
    <t>Vodorovné přemístění výkopku z hor.1-4 do 50 m</t>
  </si>
  <si>
    <t>Konstrukce ze zemin</t>
  </si>
  <si>
    <t>Zásyp jam, rýh, šachet se zhutněním</t>
  </si>
  <si>
    <t>Zřízení těsnícího jádra, 100% PS, š.vrstvy do 3,0m</t>
  </si>
  <si>
    <t>Povrchové úpravy terénu</t>
  </si>
  <si>
    <t>Rozprostření ornice v rovině tloušťka 15 cm</t>
  </si>
  <si>
    <t>dovoz ornice ze vzdálenosti 500 m, osetí trávou</t>
  </si>
  <si>
    <t>Úprava pozemku s rozpoj. a přehrn. hor. 3 do 20 m</t>
  </si>
  <si>
    <t>Úprava pláně v zářezech v hor. 1-4, se zhutněním</t>
  </si>
  <si>
    <t>Rozprostření zemin v rov./sklonu 1:5, tl. do 10 cm</t>
  </si>
  <si>
    <t>Úprava podloží a základové spáry</t>
  </si>
  <si>
    <t>Očištění stáv. břehů</t>
  </si>
  <si>
    <t>Základy</t>
  </si>
  <si>
    <t>Bednění stěn základových zdí, jednostranné-odstran</t>
  </si>
  <si>
    <t>Základ.patky z betonu prostého vodostaveb. C 25/30</t>
  </si>
  <si>
    <t>Zdi podpěrné a volné</t>
  </si>
  <si>
    <t>Zdivo nadzákladové z lomového kamene na MC 15</t>
  </si>
  <si>
    <t>Osazování bloků nadzákl.zdí,objem bloku do 1,20 m3</t>
  </si>
  <si>
    <t>Různé kompletní konstrukce nedělitelné do stav. dílů</t>
  </si>
  <si>
    <t>Dobetonování prefabrikovaných konstrukcí</t>
  </si>
  <si>
    <t>betonem třídy C 25/30</t>
  </si>
  <si>
    <t>Schodiště</t>
  </si>
  <si>
    <t>Osazení stupňů kamenných na desku, broušených</t>
  </si>
  <si>
    <t>Stupeň schod. plný 150x300x1000 rovná podstupnice</t>
  </si>
  <si>
    <t>Zpevněné plochy (kromě vozovek a železničního svršku)</t>
  </si>
  <si>
    <t>Rovnanina z lomového kamene s vyplněním spár</t>
  </si>
  <si>
    <t>Podkladní vrstvy komunikací, letišť a ploch</t>
  </si>
  <si>
    <t>Podklad z kameniva drceného 63-125 mm, tl. 25 cm</t>
  </si>
  <si>
    <t>Podklad z kam.drceného 32-63 s výplň.kamen. 10 cm</t>
  </si>
  <si>
    <t>Podklad z kameniva drceného 63-125 mm, tl. 30 cm</t>
  </si>
  <si>
    <t>Úprava povrchů vnější</t>
  </si>
  <si>
    <t>Oprava spárování dlažeb z kamene plochy nad 4 m2</t>
  </si>
  <si>
    <t>Podlahy a podlahové konstrukce</t>
  </si>
  <si>
    <t>Doplnění dlažby z lomového kamene do MC do 4 m2</t>
  </si>
  <si>
    <t>Kámen lomový upravený tř. 2 dlažba 25 cm</t>
  </si>
  <si>
    <t>Konstrukce doplňkové stavební (zámečnické)</t>
  </si>
  <si>
    <t>Bourání konstrukcí</t>
  </si>
  <si>
    <t>Bourání konstrukcí ze železobetonu</t>
  </si>
  <si>
    <t>Nádrže na tocích, úpravy toků a kanály</t>
  </si>
  <si>
    <t>Přesun hmot pro nádrže</t>
  </si>
  <si>
    <t>Přesuny sutí</t>
  </si>
  <si>
    <t>Svislé přemístění vyb. hmot nošením na H do 3,5 m</t>
  </si>
  <si>
    <t>Odvoz suti a vybour. hmot na skládku do 1 km</t>
  </si>
  <si>
    <t>Poplatek za sklád.suti-směs bet.a cihel do 30x30cm</t>
  </si>
  <si>
    <t>Doba výstavby:</t>
  </si>
  <si>
    <t>Začátek výstavby:</t>
  </si>
  <si>
    <t>Konec výstavby:</t>
  </si>
  <si>
    <t>Zpracováno dne:</t>
  </si>
  <si>
    <t>MJ</t>
  </si>
  <si>
    <t>m3</t>
  </si>
  <si>
    <t>m2</t>
  </si>
  <si>
    <t>kus</t>
  </si>
  <si>
    <t>m</t>
  </si>
  <si>
    <t>soubor</t>
  </si>
  <si>
    <t>t</t>
  </si>
  <si>
    <t>21.09.2019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</si>
  <si>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</si>
  <si>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</si>
  <si>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</si>
  <si>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</si>
  <si>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</si>
  <si>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</si>
  <si>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</si>
  <si>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</si>
  <si>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</si>
  <si>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</si>
  <si>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</si>
  <si>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</si>
  <si>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</si>
  <si>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%</t>
  </si>
  <si>
    <t>Cenová</t>
  </si>
  <si>
    <t>soustava</t>
  </si>
  <si>
    <t>RTS 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</si>
  <si>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</si>
  <si>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</si>
  <si>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</si>
  <si>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</si>
  <si>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</si>
  <si>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</si>
  <si>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</si>
  <si>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</si>
  <si>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</si>
  <si>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so01</t>
  </si>
  <si>
    <t>12_</t>
  </si>
  <si>
    <t>16_</t>
  </si>
  <si>
    <t>17_</t>
  </si>
  <si>
    <t>18_</t>
  </si>
  <si>
    <t>21_</t>
  </si>
  <si>
    <t>27_</t>
  </si>
  <si>
    <t>31_</t>
  </si>
  <si>
    <t>38_</t>
  </si>
  <si>
    <t>43_</t>
  </si>
  <si>
    <t>46_</t>
  </si>
  <si>
    <t>56_</t>
  </si>
  <si>
    <t>62_</t>
  </si>
  <si>
    <t>63_</t>
  </si>
  <si>
    <t>767_</t>
  </si>
  <si>
    <t>96_</t>
  </si>
  <si>
    <t>H33_</t>
  </si>
  <si>
    <t>S_</t>
  </si>
  <si>
    <t>so01_1_</t>
  </si>
  <si>
    <t>so01_2_</t>
  </si>
  <si>
    <t>so01_3_</t>
  </si>
  <si>
    <t>so01_4_</t>
  </si>
  <si>
    <t>so01_5_</t>
  </si>
  <si>
    <t>so01_6_</t>
  </si>
  <si>
    <t>so01_76_</t>
  </si>
  <si>
    <t>so01_9_</t>
  </si>
  <si>
    <t>so01_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</si>
  <si>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</si>
  <si>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</si>
  <si>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</si>
  <si>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</si>
  <si>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</si>
  <si>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</si>
  <si>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</si>
  <si>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</si>
  <si>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</si>
  <si>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</si>
  <si>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</si>
  <si>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</si>
  <si>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</si>
  <si>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</si>
  <si>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</si>
  <si>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</si>
  <si>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</si>
  <si>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</si>
  <si>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</si>
  <si>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</si>
  <si>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</si>
  <si>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</si>
  <si>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</si>
  <si>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</si>
  <si>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</si>
  <si>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</si>
  <si>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</si>
  <si>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</si>
  <si>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</si>
  <si>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</si>
  <si>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</si>
  <si>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</si>
  <si>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</si>
  <si>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</si>
  <si>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</si>
  <si>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</si>
  <si>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</si>
  <si>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</si>
  <si>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</si>
  <si>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</si>
  <si>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</si>
  <si>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</si>
  <si>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</si>
  <si>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</si>
  <si>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</si>
  <si>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</si>
  <si>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</si>
  <si>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</si>
  <si>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Celkem NUS</t>
  </si>
  <si>
    <t>Celkem VRN</t>
  </si>
  <si>
    <t>Ostatní rozpočtové náklady ORN</t>
  </si>
  <si>
    <t>Ostatní rozpočtové náklady (ORN)</t>
  </si>
  <si>
    <t>geodetické práce</t>
  </si>
  <si>
    <t>dokumentace skutečného provedení</t>
  </si>
  <si>
    <t>Celkem ORN</t>
  </si>
  <si>
    <t>Vedlejší a ostatní rozpočtové náklady</t>
  </si>
  <si>
    <t>Kč</t>
  </si>
  <si>
    <t>Základna</t>
  </si>
  <si>
    <t>cementovou maltou/20% výměna kamene</t>
  </si>
  <si>
    <t>Mazanina betonová tl. 8 - 12 cm C 12/15</t>
  </si>
  <si>
    <t>Město Přelouč, Československé armády 1665 535 33  Přelouč, IČO 00274101</t>
  </si>
  <si>
    <t>Aquion, s.r.o., Ing. Lubomír Macek, CSc., MBA; Osadní 324/12a, 170 00  Praha 7</t>
  </si>
  <si>
    <t>ing.Jaroslav Váňa, Újezd 26, 100 00 Praha 1, IČO 42500427</t>
  </si>
  <si>
    <t>D + M madlo dvojité pevné ocelové pozink.</t>
  </si>
  <si>
    <t>D + M zábradlí z profilované oceli na oc.konstr.do 20 kg pozink.</t>
  </si>
  <si>
    <t>Komplet požerák, vč.montáže</t>
  </si>
  <si>
    <t>Položka vypuštěna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</si>
</sst>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  <numFmt numFmtId="168" formatCode="#,##0.0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9" fontId="9" fillId="33" borderId="12" xfId="0" applyNumberFormat="1" applyFont="1" applyFill="1" applyBorder="1" applyAlignment="1" applyProtection="1">
      <alignment horizontal="center" vertical="center"/>
      <protection/>
    </xf>
    <xf numFmtId="9" fontId="10" fillId="34" borderId="0" xfId="0" applyNumberFormat="1" applyFont="1" applyFill="1" applyBorder="1" applyAlignment="1" applyProtection="1">
      <alignment horizontal="center" vertical="center"/>
      <protection/>
    </xf>
    <xf numFmtId="9" fontId="6" fillId="0" borderId="0" xfId="0" applyNumberFormat="1" applyFont="1" applyFill="1" applyBorder="1" applyAlignment="1" applyProtection="1">
      <alignment horizontal="center" vertical="center"/>
      <protection/>
    </xf>
    <xf numFmtId="9" fontId="7" fillId="0" borderId="0" xfId="0" applyNumberFormat="1" applyFont="1" applyFill="1" applyBorder="1" applyAlignment="1" applyProtection="1">
      <alignment horizontal="center" vertical="center"/>
      <protection/>
    </xf>
    <xf numFmtId="9" fontId="6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3" fillId="35" borderId="25" xfId="0" applyNumberFormat="1" applyFont="1" applyFill="1" applyBorder="1" applyAlignment="1" applyProtection="1">
      <alignment horizontal="center" vertical="center"/>
      <protection/>
    </xf>
    <xf numFmtId="49" fontId="14" fillId="0" borderId="26" xfId="0" applyNumberFormat="1" applyFont="1" applyFill="1" applyBorder="1" applyAlignment="1" applyProtection="1">
      <alignment horizontal="left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5" fillId="0" borderId="25" xfId="0" applyNumberFormat="1" applyFont="1" applyFill="1" applyBorder="1" applyAlignment="1" applyProtection="1">
      <alignment horizontal="right" vertical="center"/>
      <protection/>
    </xf>
    <xf numFmtId="49" fontId="15" fillId="0" borderId="25" xfId="0" applyNumberFormat="1" applyFont="1" applyFill="1" applyBorder="1" applyAlignment="1" applyProtection="1">
      <alignment horizontal="right" vertical="center"/>
      <protection/>
    </xf>
    <xf numFmtId="4" fontId="15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4" fillId="35" borderId="33" xfId="0" applyNumberFormat="1" applyFont="1" applyFill="1" applyBorder="1" applyAlignment="1" applyProtection="1">
      <alignment horizontal="righ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3" fillId="0" borderId="36" xfId="0" applyNumberFormat="1" applyFont="1" applyFill="1" applyBorder="1" applyAlignment="1" applyProtection="1">
      <alignment horizontal="right" vertical="center"/>
      <protection/>
    </xf>
    <xf numFmtId="4" fontId="1" fillId="0" borderId="25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right" vertical="center"/>
      <protection/>
    </xf>
    <xf numFmtId="4" fontId="3" fillId="0" borderId="37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 horizontal="right" vertical="center"/>
      <protection/>
    </xf>
    <xf numFmtId="168" fontId="7" fillId="0" borderId="0" xfId="0" applyNumberFormat="1" applyFont="1" applyFill="1" applyBorder="1" applyAlignment="1" applyProtection="1">
      <alignment horizontal="right" vertical="center"/>
      <protection/>
    </xf>
    <xf numFmtId="168" fontId="6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0" fontId="9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5" fillId="0" borderId="24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49" fontId="15" fillId="0" borderId="46" xfId="0" applyNumberFormat="1" applyFont="1" applyFill="1" applyBorder="1" applyAlignment="1" applyProtection="1">
      <alignment horizontal="left" vertical="center"/>
      <protection/>
    </xf>
    <xf numFmtId="0" fontId="15" fillId="0" borderId="35" xfId="0" applyNumberFormat="1" applyFont="1" applyFill="1" applyBorder="1" applyAlignment="1" applyProtection="1">
      <alignment horizontal="left" vertical="center"/>
      <protection/>
    </xf>
    <xf numFmtId="0" fontId="15" fillId="0" borderId="47" xfId="0" applyNumberFormat="1" applyFont="1" applyFill="1" applyBorder="1" applyAlignment="1" applyProtection="1">
      <alignment horizontal="left" vertical="center"/>
      <protection/>
    </xf>
    <xf numFmtId="49" fontId="14" fillId="35" borderId="48" xfId="0" applyNumberFormat="1" applyFont="1" applyFill="1" applyBorder="1" applyAlignment="1" applyProtection="1">
      <alignment horizontal="left" vertical="center"/>
      <protection/>
    </xf>
    <xf numFmtId="0" fontId="14" fillId="35" borderId="49" xfId="0" applyNumberFormat="1" applyFont="1" applyFill="1" applyBorder="1" applyAlignment="1" applyProtection="1">
      <alignment horizontal="left" vertical="center"/>
      <protection/>
    </xf>
    <xf numFmtId="49" fontId="15" fillId="0" borderId="50" xfId="0" applyNumberFormat="1" applyFont="1" applyFill="1" applyBorder="1" applyAlignment="1" applyProtection="1">
      <alignment horizontal="left" vertical="center"/>
      <protection/>
    </xf>
    <xf numFmtId="0" fontId="15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51" xfId="0" applyNumberFormat="1" applyFont="1" applyFill="1" applyBorder="1" applyAlignment="1" applyProtection="1">
      <alignment horizontal="left" vertical="center"/>
      <protection/>
    </xf>
    <xf numFmtId="49" fontId="14" fillId="0" borderId="48" xfId="0" applyNumberFormat="1" applyFont="1" applyFill="1" applyBorder="1" applyAlignment="1" applyProtection="1">
      <alignment horizontal="left" vertical="center"/>
      <protection/>
    </xf>
    <xf numFmtId="0" fontId="14" fillId="0" borderId="33" xfId="0" applyNumberFormat="1" applyFont="1" applyFill="1" applyBorder="1" applyAlignment="1" applyProtection="1">
      <alignment horizontal="left" vertical="center"/>
      <protection/>
    </xf>
    <xf numFmtId="49" fontId="15" fillId="0" borderId="48" xfId="0" applyNumberFormat="1" applyFont="1" applyFill="1" applyBorder="1" applyAlignment="1" applyProtection="1">
      <alignment horizontal="left" vertical="center"/>
      <protection/>
    </xf>
    <xf numFmtId="0" fontId="15" fillId="0" borderId="33" xfId="0" applyNumberFormat="1" applyFont="1" applyFill="1" applyBorder="1" applyAlignment="1" applyProtection="1">
      <alignment horizontal="left" vertical="center"/>
      <protection/>
    </xf>
    <xf numFmtId="49" fontId="12" fillId="0" borderId="49" xfId="0" applyNumberFormat="1" applyFont="1" applyFill="1" applyBorder="1" applyAlignment="1" applyProtection="1">
      <alignment horizontal="center" vertical="center"/>
      <protection/>
    </xf>
    <xf numFmtId="0" fontId="12" fillId="0" borderId="49" xfId="0" applyNumberFormat="1" applyFont="1" applyFill="1" applyBorder="1" applyAlignment="1" applyProtection="1">
      <alignment horizontal="center" vertical="center"/>
      <protection/>
    </xf>
    <xf numFmtId="49" fontId="16" fillId="0" borderId="48" xfId="0" applyNumberFormat="1" applyFont="1" applyFill="1" applyBorder="1" applyAlignment="1" applyProtection="1">
      <alignment horizontal="left" vertical="center"/>
      <protection/>
    </xf>
    <xf numFmtId="0" fontId="16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3" fillId="0" borderId="55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56" xfId="0" applyNumberFormat="1" applyFont="1" applyFill="1" applyBorder="1" applyAlignment="1" applyProtection="1">
      <alignment horizontal="left" vertical="center"/>
      <protection/>
    </xf>
    <xf numFmtId="49" fontId="14" fillId="0" borderId="55" xfId="0" applyNumberFormat="1" applyFont="1" applyFill="1" applyBorder="1" applyAlignment="1" applyProtection="1">
      <alignment horizontal="left" vertical="center"/>
      <protection/>
    </xf>
    <xf numFmtId="0" fontId="14" fillId="0" borderId="34" xfId="0" applyNumberFormat="1" applyFont="1" applyFill="1" applyBorder="1" applyAlignment="1" applyProtection="1">
      <alignment horizontal="left" vertical="center"/>
      <protection/>
    </xf>
    <xf numFmtId="0" fontId="14" fillId="0" borderId="56" xfId="0" applyNumberFormat="1" applyFont="1" applyFill="1" applyBorder="1" applyAlignment="1" applyProtection="1">
      <alignment horizontal="left" vertical="center"/>
      <protection/>
    </xf>
    <xf numFmtId="4" fontId="14" fillId="0" borderId="55" xfId="0" applyNumberFormat="1" applyFont="1" applyFill="1" applyBorder="1" applyAlignment="1" applyProtection="1">
      <alignment horizontal="right" vertical="center"/>
      <protection/>
    </xf>
    <xf numFmtId="0" fontId="14" fillId="0" borderId="34" xfId="0" applyNumberFormat="1" applyFont="1" applyFill="1" applyBorder="1" applyAlignment="1" applyProtection="1">
      <alignment horizontal="right" vertical="center"/>
      <protection/>
    </xf>
    <xf numFmtId="0" fontId="14" fillId="0" borderId="56" xfId="0" applyNumberFormat="1" applyFont="1" applyFill="1" applyBorder="1" applyAlignment="1" applyProtection="1">
      <alignment horizontal="right" vertical="center"/>
      <protection/>
    </xf>
    <xf numFmtId="49" fontId="14" fillId="0" borderId="35" xfId="0" applyNumberFormat="1" applyFont="1" applyFill="1" applyBorder="1" applyAlignment="1" applyProtection="1">
      <alignment horizontal="left" vertical="center"/>
      <protection/>
    </xf>
    <xf numFmtId="0" fontId="14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57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FF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N18" sqref="N18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45.28125" style="0" customWidth="1"/>
    <col min="4" max="5" width="11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6.00390625" style="0" customWidth="1"/>
    <col min="13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ht="12.75">
      <c r="A2" s="114" t="s">
        <v>1</v>
      </c>
      <c r="B2" s="115"/>
      <c r="C2" s="116" t="s">
        <v>90</v>
      </c>
      <c r="D2" s="75"/>
      <c r="E2" s="118" t="s">
        <v>143</v>
      </c>
      <c r="F2" s="115"/>
      <c r="G2" s="118" t="s">
        <v>6</v>
      </c>
      <c r="H2" s="119" t="s">
        <v>156</v>
      </c>
      <c r="I2" s="108" t="s">
        <v>268</v>
      </c>
      <c r="J2" s="109"/>
      <c r="K2" s="109"/>
      <c r="L2" s="109"/>
      <c r="M2" s="110"/>
      <c r="N2" s="30"/>
    </row>
    <row r="3" spans="1:14" ht="12.75">
      <c r="A3" s="106"/>
      <c r="B3" s="77"/>
      <c r="C3" s="117"/>
      <c r="D3" s="117"/>
      <c r="E3" s="77"/>
      <c r="F3" s="77"/>
      <c r="G3" s="77"/>
      <c r="H3" s="77"/>
      <c r="I3" s="101"/>
      <c r="J3" s="101"/>
      <c r="K3" s="101"/>
      <c r="L3" s="101"/>
      <c r="M3" s="111"/>
      <c r="N3" s="30"/>
    </row>
    <row r="4" spans="1:14" ht="12.75">
      <c r="A4" s="97" t="s">
        <v>2</v>
      </c>
      <c r="B4" s="77"/>
      <c r="C4" s="76" t="s">
        <v>6</v>
      </c>
      <c r="D4" s="77"/>
      <c r="E4" s="100" t="s">
        <v>144</v>
      </c>
      <c r="F4" s="77"/>
      <c r="G4" s="100" t="s">
        <v>154</v>
      </c>
      <c r="H4" s="76" t="s">
        <v>157</v>
      </c>
      <c r="I4" s="108" t="s">
        <v>269</v>
      </c>
      <c r="J4" s="109"/>
      <c r="K4" s="109"/>
      <c r="L4" s="109"/>
      <c r="M4" s="110"/>
      <c r="N4" s="30"/>
    </row>
    <row r="5" spans="1:14" ht="12.75">
      <c r="A5" s="106"/>
      <c r="B5" s="77"/>
      <c r="C5" s="77"/>
      <c r="D5" s="77"/>
      <c r="E5" s="77"/>
      <c r="F5" s="77"/>
      <c r="G5" s="77"/>
      <c r="H5" s="77"/>
      <c r="I5" s="101"/>
      <c r="J5" s="101"/>
      <c r="K5" s="101"/>
      <c r="L5" s="101"/>
      <c r="M5" s="111"/>
      <c r="N5" s="30"/>
    </row>
    <row r="6" spans="1:14" ht="12.75">
      <c r="A6" s="97" t="s">
        <v>3</v>
      </c>
      <c r="B6" s="77"/>
      <c r="C6" s="76" t="s">
        <v>6</v>
      </c>
      <c r="D6" s="77"/>
      <c r="E6" s="100" t="s">
        <v>145</v>
      </c>
      <c r="F6" s="77"/>
      <c r="G6" s="100" t="s">
        <v>6</v>
      </c>
      <c r="H6" s="76" t="s">
        <v>158</v>
      </c>
      <c r="I6" s="107" t="s">
        <v>162</v>
      </c>
      <c r="J6" s="102"/>
      <c r="K6" s="102"/>
      <c r="L6" s="102"/>
      <c r="M6" s="103"/>
      <c r="N6" s="30"/>
    </row>
    <row r="7" spans="1:14" ht="12.75">
      <c r="A7" s="106"/>
      <c r="B7" s="77"/>
      <c r="C7" s="77"/>
      <c r="D7" s="77"/>
      <c r="E7" s="77"/>
      <c r="F7" s="77"/>
      <c r="G7" s="77"/>
      <c r="H7" s="77"/>
      <c r="I7" s="102"/>
      <c r="J7" s="102"/>
      <c r="K7" s="102"/>
      <c r="L7" s="102"/>
      <c r="M7" s="103"/>
      <c r="N7" s="30"/>
    </row>
    <row r="8" spans="1:14" ht="12" customHeight="1">
      <c r="A8" s="97" t="s">
        <v>4</v>
      </c>
      <c r="B8" s="77"/>
      <c r="C8" s="76" t="s">
        <v>6</v>
      </c>
      <c r="D8" s="77"/>
      <c r="E8" s="100" t="s">
        <v>146</v>
      </c>
      <c r="F8" s="77"/>
      <c r="G8" s="100" t="s">
        <v>154</v>
      </c>
      <c r="H8" s="76" t="s">
        <v>159</v>
      </c>
      <c r="I8" s="101" t="s">
        <v>270</v>
      </c>
      <c r="J8" s="102"/>
      <c r="K8" s="102"/>
      <c r="L8" s="102"/>
      <c r="M8" s="103"/>
      <c r="N8" s="30"/>
    </row>
    <row r="9" spans="1:14" ht="12.75">
      <c r="A9" s="98"/>
      <c r="B9" s="99"/>
      <c r="C9" s="99"/>
      <c r="D9" s="99"/>
      <c r="E9" s="99"/>
      <c r="F9" s="99"/>
      <c r="G9" s="99"/>
      <c r="H9" s="99"/>
      <c r="I9" s="104"/>
      <c r="J9" s="104"/>
      <c r="K9" s="104"/>
      <c r="L9" s="104"/>
      <c r="M9" s="105"/>
      <c r="N9" s="30"/>
    </row>
    <row r="10" spans="1:14" ht="12.75">
      <c r="A10" s="1" t="s">
        <v>5</v>
      </c>
      <c r="B10" s="10" t="s">
        <v>45</v>
      </c>
      <c r="C10" s="86" t="s">
        <v>91</v>
      </c>
      <c r="D10" s="87"/>
      <c r="E10" s="88"/>
      <c r="F10" s="10" t="s">
        <v>147</v>
      </c>
      <c r="G10" s="14" t="s">
        <v>155</v>
      </c>
      <c r="H10" s="18" t="s">
        <v>160</v>
      </c>
      <c r="I10" s="89" t="s">
        <v>163</v>
      </c>
      <c r="J10" s="90"/>
      <c r="K10" s="91"/>
      <c r="L10" s="18" t="s">
        <v>168</v>
      </c>
      <c r="M10" s="23" t="s">
        <v>169</v>
      </c>
      <c r="N10" s="31"/>
    </row>
    <row r="11" spans="1:62" ht="12.75">
      <c r="A11" s="2" t="s">
        <v>6</v>
      </c>
      <c r="B11" s="11" t="s">
        <v>6</v>
      </c>
      <c r="C11" s="92" t="s">
        <v>92</v>
      </c>
      <c r="D11" s="93"/>
      <c r="E11" s="94"/>
      <c r="F11" s="11" t="s">
        <v>6</v>
      </c>
      <c r="G11" s="11" t="s">
        <v>6</v>
      </c>
      <c r="H11" s="19" t="s">
        <v>161</v>
      </c>
      <c r="I11" s="20" t="s">
        <v>164</v>
      </c>
      <c r="J11" s="21" t="s">
        <v>166</v>
      </c>
      <c r="K11" s="21" t="s">
        <v>167</v>
      </c>
      <c r="L11" s="22" t="s">
        <v>6</v>
      </c>
      <c r="M11" s="24" t="s">
        <v>170</v>
      </c>
      <c r="N11" s="31"/>
      <c r="Z11" s="26" t="s">
        <v>172</v>
      </c>
      <c r="AA11" s="26" t="s">
        <v>173</v>
      </c>
      <c r="AB11" s="26" t="s">
        <v>174</v>
      </c>
      <c r="AC11" s="26" t="s">
        <v>175</v>
      </c>
      <c r="AD11" s="26" t="s">
        <v>176</v>
      </c>
      <c r="AE11" s="26" t="s">
        <v>177</v>
      </c>
      <c r="AF11" s="26" t="s">
        <v>178</v>
      </c>
      <c r="AG11" s="26" t="s">
        <v>179</v>
      </c>
      <c r="AH11" s="26" t="s">
        <v>180</v>
      </c>
      <c r="BH11" s="26" t="s">
        <v>208</v>
      </c>
      <c r="BI11" s="26" t="s">
        <v>209</v>
      </c>
      <c r="BJ11" s="26" t="s">
        <v>210</v>
      </c>
    </row>
    <row r="12" spans="1:13" ht="12.75">
      <c r="A12" s="3"/>
      <c r="B12" s="12"/>
      <c r="C12" s="95" t="s">
        <v>93</v>
      </c>
      <c r="D12" s="96"/>
      <c r="E12" s="96"/>
      <c r="F12" s="3" t="s">
        <v>6</v>
      </c>
      <c r="G12" s="3" t="s">
        <v>6</v>
      </c>
      <c r="H12" s="3" t="s">
        <v>6</v>
      </c>
      <c r="I12" s="34">
        <f>I13+I17+I21+I24+I30+I32+I35+I40+I43+I46+I48+I52+I55+I59+I62+I64+I66</f>
        <v>0</v>
      </c>
      <c r="J12" s="34">
        <f>J13+J17+J21+J24+J30+J32+J35+J40+J43+J46+J48+J52+J55+J59+J62+J64+J66</f>
        <v>0</v>
      </c>
      <c r="K12" s="34">
        <f>K13+K17+K21+K24+K30+K32+K35+K40+K43+K46+K48+K52+K55+K59+K62+K64+K66</f>
        <v>0</v>
      </c>
      <c r="L12" s="37">
        <f>IF(K70=0,0,K12/K70)</f>
        <v>0</v>
      </c>
      <c r="M12" s="25"/>
    </row>
    <row r="13" spans="1:47" ht="12.75">
      <c r="A13" s="4"/>
      <c r="B13" s="13" t="s">
        <v>18</v>
      </c>
      <c r="C13" s="80" t="s">
        <v>94</v>
      </c>
      <c r="D13" s="81"/>
      <c r="E13" s="81"/>
      <c r="F13" s="4" t="s">
        <v>6</v>
      </c>
      <c r="G13" s="4" t="s">
        <v>6</v>
      </c>
      <c r="H13" s="4" t="s">
        <v>6</v>
      </c>
      <c r="I13" s="35">
        <f>SUM(I14:I16)</f>
        <v>0</v>
      </c>
      <c r="J13" s="35">
        <f>SUM(J14:J16)</f>
        <v>0</v>
      </c>
      <c r="K13" s="35">
        <f>SUM(K14:K16)</f>
        <v>0</v>
      </c>
      <c r="L13" s="38">
        <f>IF(K70=0,0,K13/K70)</f>
        <v>0</v>
      </c>
      <c r="M13" s="26"/>
      <c r="AI13" s="26" t="s">
        <v>181</v>
      </c>
      <c r="AS13" s="35">
        <f>SUM(AJ14:AJ16)</f>
        <v>0</v>
      </c>
      <c r="AT13" s="35">
        <f>SUM(AK14:AK16)</f>
        <v>0</v>
      </c>
      <c r="AU13" s="35">
        <f>SUM(AL14:AL16)</f>
        <v>0</v>
      </c>
    </row>
    <row r="14" spans="1:62" ht="12.75">
      <c r="A14" s="5" t="s">
        <v>7</v>
      </c>
      <c r="B14" s="5" t="s">
        <v>46</v>
      </c>
      <c r="C14" s="78" t="s">
        <v>95</v>
      </c>
      <c r="D14" s="79"/>
      <c r="E14" s="79"/>
      <c r="F14" s="5" t="s">
        <v>148</v>
      </c>
      <c r="G14" s="69">
        <v>3.5</v>
      </c>
      <c r="H14" s="15">
        <v>0</v>
      </c>
      <c r="I14" s="15">
        <f>G14*AO14</f>
        <v>0</v>
      </c>
      <c r="J14" s="15">
        <f>G14*AP14</f>
        <v>0</v>
      </c>
      <c r="K14" s="15">
        <f>G14*H14</f>
        <v>0</v>
      </c>
      <c r="L14" s="39">
        <f>IF(K70=0,0,K14/K70)</f>
        <v>0</v>
      </c>
      <c r="M14" s="27" t="s">
        <v>171</v>
      </c>
      <c r="Z14" s="32">
        <f>IF(AQ14="5",BJ14,0)</f>
        <v>0</v>
      </c>
      <c r="AB14" s="32">
        <f>IF(AQ14="1",BH14,0)</f>
        <v>0</v>
      </c>
      <c r="AC14" s="32">
        <f>IF(AQ14="1",BI14,0)</f>
        <v>0</v>
      </c>
      <c r="AD14" s="32">
        <f>IF(AQ14="7",BH14,0)</f>
        <v>0</v>
      </c>
      <c r="AE14" s="32">
        <f>IF(AQ14="7",BI14,0)</f>
        <v>0</v>
      </c>
      <c r="AF14" s="32">
        <f>IF(AQ14="2",BH14,0)</f>
        <v>0</v>
      </c>
      <c r="AG14" s="32">
        <f>IF(AQ14="2",BI14,0)</f>
        <v>0</v>
      </c>
      <c r="AH14" s="32">
        <f>IF(AQ14="0",BJ14,0)</f>
        <v>0</v>
      </c>
      <c r="AI14" s="26" t="s">
        <v>181</v>
      </c>
      <c r="AJ14" s="15">
        <f>IF(AN14=0,K14,0)</f>
        <v>0</v>
      </c>
      <c r="AK14" s="15">
        <f>IF(AN14=15,K14,0)</f>
        <v>0</v>
      </c>
      <c r="AL14" s="15">
        <f>IF(AN14=21,K14,0)</f>
        <v>0</v>
      </c>
      <c r="AN14" s="32">
        <v>21</v>
      </c>
      <c r="AO14" s="32">
        <f>H14*0</f>
        <v>0</v>
      </c>
      <c r="AP14" s="32">
        <f>H14*(1-0)</f>
        <v>0</v>
      </c>
      <c r="AQ14" s="27" t="s">
        <v>7</v>
      </c>
      <c r="AV14" s="32">
        <f>AW14+AX14</f>
        <v>0</v>
      </c>
      <c r="AW14" s="32">
        <f>G14*AO14</f>
        <v>0</v>
      </c>
      <c r="AX14" s="32">
        <f>G14*AP14</f>
        <v>0</v>
      </c>
      <c r="AY14" s="33" t="s">
        <v>182</v>
      </c>
      <c r="AZ14" s="33" t="s">
        <v>199</v>
      </c>
      <c r="BA14" s="26" t="s">
        <v>207</v>
      </c>
      <c r="BC14" s="32">
        <f>AW14+AX14</f>
        <v>0</v>
      </c>
      <c r="BD14" s="32">
        <f>H14/(100-BE14)*100</f>
        <v>0</v>
      </c>
      <c r="BE14" s="32">
        <v>0</v>
      </c>
      <c r="BF14" s="32">
        <f>14</f>
        <v>14</v>
      </c>
      <c r="BH14" s="15">
        <f>G14*AO14</f>
        <v>0</v>
      </c>
      <c r="BI14" s="15">
        <f>G14*AP14</f>
        <v>0</v>
      </c>
      <c r="BJ14" s="15">
        <f>G14*H14</f>
        <v>0</v>
      </c>
    </row>
    <row r="15" spans="1:62" ht="12.75">
      <c r="A15" s="5" t="s">
        <v>8</v>
      </c>
      <c r="B15" s="5" t="s">
        <v>47</v>
      </c>
      <c r="C15" s="78" t="s">
        <v>96</v>
      </c>
      <c r="D15" s="79"/>
      <c r="E15" s="79"/>
      <c r="F15" s="5" t="s">
        <v>148</v>
      </c>
      <c r="G15" s="69">
        <v>3.5</v>
      </c>
      <c r="H15" s="15">
        <v>0</v>
      </c>
      <c r="I15" s="15">
        <f>G15*AO15</f>
        <v>0</v>
      </c>
      <c r="J15" s="15">
        <f>G15*AP15</f>
        <v>0</v>
      </c>
      <c r="K15" s="15">
        <f>G15*H15</f>
        <v>0</v>
      </c>
      <c r="L15" s="39">
        <f>IF(K70=0,0,K15/K70)</f>
        <v>0</v>
      </c>
      <c r="M15" s="27" t="s">
        <v>171</v>
      </c>
      <c r="Z15" s="32">
        <f>IF(AQ15="5",BJ15,0)</f>
        <v>0</v>
      </c>
      <c r="AB15" s="32">
        <f>IF(AQ15="1",BH15,0)</f>
        <v>0</v>
      </c>
      <c r="AC15" s="32">
        <f>IF(AQ15="1",BI15,0)</f>
        <v>0</v>
      </c>
      <c r="AD15" s="32">
        <f>IF(AQ15="7",BH15,0)</f>
        <v>0</v>
      </c>
      <c r="AE15" s="32">
        <f>IF(AQ15="7",BI15,0)</f>
        <v>0</v>
      </c>
      <c r="AF15" s="32">
        <f>IF(AQ15="2",BH15,0)</f>
        <v>0</v>
      </c>
      <c r="AG15" s="32">
        <f>IF(AQ15="2",BI15,0)</f>
        <v>0</v>
      </c>
      <c r="AH15" s="32">
        <f>IF(AQ15="0",BJ15,0)</f>
        <v>0</v>
      </c>
      <c r="AI15" s="26" t="s">
        <v>181</v>
      </c>
      <c r="AJ15" s="15">
        <f>IF(AN15=0,K15,0)</f>
        <v>0</v>
      </c>
      <c r="AK15" s="15">
        <f>IF(AN15=15,K15,0)</f>
        <v>0</v>
      </c>
      <c r="AL15" s="15">
        <f>IF(AN15=21,K15,0)</f>
        <v>0</v>
      </c>
      <c r="AN15" s="32">
        <v>21</v>
      </c>
      <c r="AO15" s="32">
        <f>H15*0</f>
        <v>0</v>
      </c>
      <c r="AP15" s="32">
        <f>H15*(1-0)</f>
        <v>0</v>
      </c>
      <c r="AQ15" s="27" t="s">
        <v>7</v>
      </c>
      <c r="AV15" s="32">
        <f>AW15+AX15</f>
        <v>0</v>
      </c>
      <c r="AW15" s="32">
        <f>G15*AO15</f>
        <v>0</v>
      </c>
      <c r="AX15" s="32">
        <f>G15*AP15</f>
        <v>0</v>
      </c>
      <c r="AY15" s="33" t="s">
        <v>182</v>
      </c>
      <c r="AZ15" s="33" t="s">
        <v>199</v>
      </c>
      <c r="BA15" s="26" t="s">
        <v>207</v>
      </c>
      <c r="BC15" s="32">
        <f>AW15+AX15</f>
        <v>0</v>
      </c>
      <c r="BD15" s="32">
        <f>H15/(100-BE15)*100</f>
        <v>0</v>
      </c>
      <c r="BE15" s="32">
        <v>0</v>
      </c>
      <c r="BF15" s="32">
        <f>15</f>
        <v>15</v>
      </c>
      <c r="BH15" s="15">
        <f>G15*AO15</f>
        <v>0</v>
      </c>
      <c r="BI15" s="15">
        <f>G15*AP15</f>
        <v>0</v>
      </c>
      <c r="BJ15" s="15">
        <f>G15*H15</f>
        <v>0</v>
      </c>
    </row>
    <row r="16" spans="1:62" ht="12.75">
      <c r="A16" s="5" t="s">
        <v>9</v>
      </c>
      <c r="B16" s="5"/>
      <c r="C16" s="78" t="s">
        <v>274</v>
      </c>
      <c r="D16" s="79"/>
      <c r="E16" s="79"/>
      <c r="F16" s="5"/>
      <c r="G16" s="69">
        <v>0</v>
      </c>
      <c r="H16" s="15">
        <v>0</v>
      </c>
      <c r="I16" s="15">
        <f>G16*AO16</f>
        <v>0</v>
      </c>
      <c r="J16" s="15">
        <f>G16*AP16</f>
        <v>0</v>
      </c>
      <c r="K16" s="15">
        <f>G16*H16</f>
        <v>0</v>
      </c>
      <c r="L16" s="39">
        <f>IF(K70=0,0,K16/K70)</f>
        <v>0</v>
      </c>
      <c r="M16" s="27" t="s">
        <v>171</v>
      </c>
      <c r="Z16" s="32">
        <f>IF(AQ16="5",BJ16,0)</f>
        <v>0</v>
      </c>
      <c r="AB16" s="32">
        <f>IF(AQ16="1",BH16,0)</f>
        <v>0</v>
      </c>
      <c r="AC16" s="32">
        <f>IF(AQ16="1",BI16,0)</f>
        <v>0</v>
      </c>
      <c r="AD16" s="32">
        <f>IF(AQ16="7",BH16,0)</f>
        <v>0</v>
      </c>
      <c r="AE16" s="32">
        <f>IF(AQ16="7",BI16,0)</f>
        <v>0</v>
      </c>
      <c r="AF16" s="32">
        <f>IF(AQ16="2",BH16,0)</f>
        <v>0</v>
      </c>
      <c r="AG16" s="32">
        <f>IF(AQ16="2",BI16,0)</f>
        <v>0</v>
      </c>
      <c r="AH16" s="32">
        <f>IF(AQ16="0",BJ16,0)</f>
        <v>0</v>
      </c>
      <c r="AI16" s="26" t="s">
        <v>181</v>
      </c>
      <c r="AJ16" s="15">
        <f>IF(AN16=0,K16,0)</f>
        <v>0</v>
      </c>
      <c r="AK16" s="15">
        <f>IF(AN16=15,K16,0)</f>
        <v>0</v>
      </c>
      <c r="AL16" s="15">
        <f>IF(AN16=21,K16,0)</f>
        <v>0</v>
      </c>
      <c r="AN16" s="32">
        <v>21</v>
      </c>
      <c r="AO16" s="32">
        <f>H16*0</f>
        <v>0</v>
      </c>
      <c r="AP16" s="32">
        <f>H16*(1-0)</f>
        <v>0</v>
      </c>
      <c r="AQ16" s="27" t="s">
        <v>7</v>
      </c>
      <c r="AV16" s="32">
        <f>AW16+AX16</f>
        <v>0</v>
      </c>
      <c r="AW16" s="32">
        <f>G16*AO16</f>
        <v>0</v>
      </c>
      <c r="AX16" s="32">
        <f>G16*AP16</f>
        <v>0</v>
      </c>
      <c r="AY16" s="33" t="s">
        <v>182</v>
      </c>
      <c r="AZ16" s="33" t="s">
        <v>199</v>
      </c>
      <c r="BA16" s="26" t="s">
        <v>207</v>
      </c>
      <c r="BC16" s="32">
        <f>AW16+AX16</f>
        <v>0</v>
      </c>
      <c r="BD16" s="32">
        <f>H16/(100-BE16)*100</f>
        <v>0</v>
      </c>
      <c r="BE16" s="32">
        <v>0</v>
      </c>
      <c r="BF16" s="32">
        <f>16</f>
        <v>16</v>
      </c>
      <c r="BH16" s="15">
        <f>G16*AO16</f>
        <v>0</v>
      </c>
      <c r="BI16" s="15">
        <f>G16*AP16</f>
        <v>0</v>
      </c>
      <c r="BJ16" s="15">
        <f>G16*H16</f>
        <v>0</v>
      </c>
    </row>
    <row r="17" spans="1:47" ht="12.75">
      <c r="A17" s="4"/>
      <c r="B17" s="13" t="s">
        <v>22</v>
      </c>
      <c r="C17" s="80" t="s">
        <v>97</v>
      </c>
      <c r="D17" s="81"/>
      <c r="E17" s="81"/>
      <c r="F17" s="4" t="s">
        <v>6</v>
      </c>
      <c r="G17" s="4" t="s">
        <v>6</v>
      </c>
      <c r="H17" s="4" t="s">
        <v>6</v>
      </c>
      <c r="I17" s="35">
        <f>SUM(I18:I20)</f>
        <v>0</v>
      </c>
      <c r="J17" s="35">
        <f>SUM(J18:J20)</f>
        <v>0</v>
      </c>
      <c r="K17" s="35">
        <f>SUM(K18:K20)</f>
        <v>0</v>
      </c>
      <c r="L17" s="38">
        <f>IF(K70=0,0,K17/K70)</f>
        <v>0</v>
      </c>
      <c r="M17" s="26"/>
      <c r="AI17" s="26" t="s">
        <v>181</v>
      </c>
      <c r="AS17" s="35">
        <f>SUM(AJ18:AJ20)</f>
        <v>0</v>
      </c>
      <c r="AT17" s="35">
        <f>SUM(AK18:AK20)</f>
        <v>0</v>
      </c>
      <c r="AU17" s="35">
        <f>SUM(AL18:AL20)</f>
        <v>0</v>
      </c>
    </row>
    <row r="18" spans="1:62" ht="12.75">
      <c r="A18" s="5" t="s">
        <v>10</v>
      </c>
      <c r="B18" s="5" t="s">
        <v>48</v>
      </c>
      <c r="C18" s="78" t="s">
        <v>98</v>
      </c>
      <c r="D18" s="79"/>
      <c r="E18" s="79"/>
      <c r="F18" s="5" t="s">
        <v>148</v>
      </c>
      <c r="G18" s="69">
        <v>7</v>
      </c>
      <c r="H18" s="15">
        <v>0</v>
      </c>
      <c r="I18" s="15">
        <f>G18*AO18</f>
        <v>0</v>
      </c>
      <c r="J18" s="15">
        <f>G18*AP18</f>
        <v>0</v>
      </c>
      <c r="K18" s="15">
        <f>G18*H18</f>
        <v>0</v>
      </c>
      <c r="L18" s="39">
        <f>IF(K70=0,0,K18/K70)</f>
        <v>0</v>
      </c>
      <c r="M18" s="27" t="s">
        <v>171</v>
      </c>
      <c r="Z18" s="32">
        <f>IF(AQ18="5",BJ18,0)</f>
        <v>0</v>
      </c>
      <c r="AB18" s="32">
        <f>IF(AQ18="1",BH18,0)</f>
        <v>0</v>
      </c>
      <c r="AC18" s="32">
        <f>IF(AQ18="1",BI18,0)</f>
        <v>0</v>
      </c>
      <c r="AD18" s="32">
        <f>IF(AQ18="7",BH18,0)</f>
        <v>0</v>
      </c>
      <c r="AE18" s="32">
        <f>IF(AQ18="7",BI18,0)</f>
        <v>0</v>
      </c>
      <c r="AF18" s="32">
        <f>IF(AQ18="2",BH18,0)</f>
        <v>0</v>
      </c>
      <c r="AG18" s="32">
        <f>IF(AQ18="2",BI18,0)</f>
        <v>0</v>
      </c>
      <c r="AH18" s="32">
        <f>IF(AQ18="0",BJ18,0)</f>
        <v>0</v>
      </c>
      <c r="AI18" s="26" t="s">
        <v>181</v>
      </c>
      <c r="AJ18" s="15">
        <f>IF(AN18=0,K18,0)</f>
        <v>0</v>
      </c>
      <c r="AK18" s="15">
        <f>IF(AN18=15,K18,0)</f>
        <v>0</v>
      </c>
      <c r="AL18" s="15">
        <f>IF(AN18=21,K18,0)</f>
        <v>0</v>
      </c>
      <c r="AN18" s="32">
        <v>21</v>
      </c>
      <c r="AO18" s="32">
        <f>H18*0</f>
        <v>0</v>
      </c>
      <c r="AP18" s="32">
        <f>H18*(1-0)</f>
        <v>0</v>
      </c>
      <c r="AQ18" s="27" t="s">
        <v>7</v>
      </c>
      <c r="AV18" s="32">
        <f>AW18+AX18</f>
        <v>0</v>
      </c>
      <c r="AW18" s="32">
        <f>G18*AO18</f>
        <v>0</v>
      </c>
      <c r="AX18" s="32">
        <f>G18*AP18</f>
        <v>0</v>
      </c>
      <c r="AY18" s="33" t="s">
        <v>183</v>
      </c>
      <c r="AZ18" s="33" t="s">
        <v>199</v>
      </c>
      <c r="BA18" s="26" t="s">
        <v>207</v>
      </c>
      <c r="BC18" s="32">
        <f>AW18+AX18</f>
        <v>0</v>
      </c>
      <c r="BD18" s="32">
        <f>H18/(100-BE18)*100</f>
        <v>0</v>
      </c>
      <c r="BE18" s="32">
        <v>0</v>
      </c>
      <c r="BF18" s="32">
        <f>18</f>
        <v>18</v>
      </c>
      <c r="BH18" s="15">
        <f>G18*AO18</f>
        <v>0</v>
      </c>
      <c r="BI18" s="15">
        <f>G18*AP18</f>
        <v>0</v>
      </c>
      <c r="BJ18" s="15">
        <f>G18*H18</f>
        <v>0</v>
      </c>
    </row>
    <row r="19" spans="1:62" ht="12.75">
      <c r="A19" s="5" t="s">
        <v>11</v>
      </c>
      <c r="B19" s="5" t="s">
        <v>49</v>
      </c>
      <c r="C19" s="78" t="s">
        <v>99</v>
      </c>
      <c r="D19" s="79"/>
      <c r="E19" s="79"/>
      <c r="F19" s="5" t="s">
        <v>148</v>
      </c>
      <c r="G19" s="69">
        <v>7</v>
      </c>
      <c r="H19" s="15">
        <v>0</v>
      </c>
      <c r="I19" s="15">
        <f>G19*AO19</f>
        <v>0</v>
      </c>
      <c r="J19" s="15">
        <f>G19*AP19</f>
        <v>0</v>
      </c>
      <c r="K19" s="15">
        <f>G19*H19</f>
        <v>0</v>
      </c>
      <c r="L19" s="39">
        <f>IF(K70=0,0,K19/K70)</f>
        <v>0</v>
      </c>
      <c r="M19" s="27" t="s">
        <v>171</v>
      </c>
      <c r="Z19" s="32">
        <f>IF(AQ19="5",BJ19,0)</f>
        <v>0</v>
      </c>
      <c r="AB19" s="32">
        <f>IF(AQ19="1",BH19,0)</f>
        <v>0</v>
      </c>
      <c r="AC19" s="32">
        <f>IF(AQ19="1",BI19,0)</f>
        <v>0</v>
      </c>
      <c r="AD19" s="32">
        <f>IF(AQ19="7",BH19,0)</f>
        <v>0</v>
      </c>
      <c r="AE19" s="32">
        <f>IF(AQ19="7",BI19,0)</f>
        <v>0</v>
      </c>
      <c r="AF19" s="32">
        <f>IF(AQ19="2",BH19,0)</f>
        <v>0</v>
      </c>
      <c r="AG19" s="32">
        <f>IF(AQ19="2",BI19,0)</f>
        <v>0</v>
      </c>
      <c r="AH19" s="32">
        <f>IF(AQ19="0",BJ19,0)</f>
        <v>0</v>
      </c>
      <c r="AI19" s="26" t="s">
        <v>181</v>
      </c>
      <c r="AJ19" s="15">
        <f>IF(AN19=0,K19,0)</f>
        <v>0</v>
      </c>
      <c r="AK19" s="15">
        <f>IF(AN19=15,K19,0)</f>
        <v>0</v>
      </c>
      <c r="AL19" s="15">
        <f>IF(AN19=21,K19,0)</f>
        <v>0</v>
      </c>
      <c r="AN19" s="32">
        <v>21</v>
      </c>
      <c r="AO19" s="32">
        <f>H19*0</f>
        <v>0</v>
      </c>
      <c r="AP19" s="32">
        <f>H19*(1-0)</f>
        <v>0</v>
      </c>
      <c r="AQ19" s="27" t="s">
        <v>7</v>
      </c>
      <c r="AV19" s="32">
        <f>AW19+AX19</f>
        <v>0</v>
      </c>
      <c r="AW19" s="32">
        <f>G19*AO19</f>
        <v>0</v>
      </c>
      <c r="AX19" s="32">
        <f>G19*AP19</f>
        <v>0</v>
      </c>
      <c r="AY19" s="33" t="s">
        <v>183</v>
      </c>
      <c r="AZ19" s="33" t="s">
        <v>199</v>
      </c>
      <c r="BA19" s="26" t="s">
        <v>207</v>
      </c>
      <c r="BC19" s="32">
        <f>AW19+AX19</f>
        <v>0</v>
      </c>
      <c r="BD19" s="32">
        <f>H19/(100-BE19)*100</f>
        <v>0</v>
      </c>
      <c r="BE19" s="32">
        <v>0</v>
      </c>
      <c r="BF19" s="32">
        <f>19</f>
        <v>19</v>
      </c>
      <c r="BH19" s="15">
        <f>G19*AO19</f>
        <v>0</v>
      </c>
      <c r="BI19" s="15">
        <f>G19*AP19</f>
        <v>0</v>
      </c>
      <c r="BJ19" s="15">
        <f>G19*H19</f>
        <v>0</v>
      </c>
    </row>
    <row r="20" spans="1:62" ht="12.75">
      <c r="A20" s="5" t="s">
        <v>12</v>
      </c>
      <c r="B20" s="5"/>
      <c r="C20" s="78" t="s">
        <v>274</v>
      </c>
      <c r="D20" s="79"/>
      <c r="E20" s="79"/>
      <c r="F20" s="5"/>
      <c r="G20" s="69">
        <v>0</v>
      </c>
      <c r="H20" s="15">
        <v>0</v>
      </c>
      <c r="I20" s="15">
        <f>G20*AO20</f>
        <v>0</v>
      </c>
      <c r="J20" s="15">
        <f>G20*AP20</f>
        <v>0</v>
      </c>
      <c r="K20" s="15">
        <f>G20*H20</f>
        <v>0</v>
      </c>
      <c r="L20" s="39">
        <f>IF(K70=0,0,K20/K70)</f>
        <v>0</v>
      </c>
      <c r="M20" s="27" t="s">
        <v>171</v>
      </c>
      <c r="Z20" s="32">
        <f>IF(AQ20="5",BJ20,0)</f>
        <v>0</v>
      </c>
      <c r="AB20" s="32">
        <f>IF(AQ20="1",BH20,0)</f>
        <v>0</v>
      </c>
      <c r="AC20" s="32">
        <f>IF(AQ20="1",BI20,0)</f>
        <v>0</v>
      </c>
      <c r="AD20" s="32">
        <f>IF(AQ20="7",BH20,0)</f>
        <v>0</v>
      </c>
      <c r="AE20" s="32">
        <f>IF(AQ20="7",BI20,0)</f>
        <v>0</v>
      </c>
      <c r="AF20" s="32">
        <f>IF(AQ20="2",BH20,0)</f>
        <v>0</v>
      </c>
      <c r="AG20" s="32">
        <f>IF(AQ20="2",BI20,0)</f>
        <v>0</v>
      </c>
      <c r="AH20" s="32">
        <f>IF(AQ20="0",BJ20,0)</f>
        <v>0</v>
      </c>
      <c r="AI20" s="26" t="s">
        <v>181</v>
      </c>
      <c r="AJ20" s="15">
        <f>IF(AN20=0,K20,0)</f>
        <v>0</v>
      </c>
      <c r="AK20" s="15">
        <f>IF(AN20=15,K20,0)</f>
        <v>0</v>
      </c>
      <c r="AL20" s="15">
        <f>IF(AN20=21,K20,0)</f>
        <v>0</v>
      </c>
      <c r="AN20" s="32">
        <v>21</v>
      </c>
      <c r="AO20" s="32">
        <f>H20*0</f>
        <v>0</v>
      </c>
      <c r="AP20" s="32">
        <f>H20*(1-0)</f>
        <v>0</v>
      </c>
      <c r="AQ20" s="27" t="s">
        <v>7</v>
      </c>
      <c r="AV20" s="32">
        <f>AW20+AX20</f>
        <v>0</v>
      </c>
      <c r="AW20" s="32">
        <f>G20*AO20</f>
        <v>0</v>
      </c>
      <c r="AX20" s="32">
        <f>G20*AP20</f>
        <v>0</v>
      </c>
      <c r="AY20" s="33" t="s">
        <v>183</v>
      </c>
      <c r="AZ20" s="33" t="s">
        <v>199</v>
      </c>
      <c r="BA20" s="26" t="s">
        <v>207</v>
      </c>
      <c r="BC20" s="32">
        <f>AW20+AX20</f>
        <v>0</v>
      </c>
      <c r="BD20" s="32">
        <f>H20/(100-BE20)*100</f>
        <v>0</v>
      </c>
      <c r="BE20" s="32">
        <v>0</v>
      </c>
      <c r="BF20" s="32">
        <f>20</f>
        <v>20</v>
      </c>
      <c r="BH20" s="15">
        <f>G20*AO20</f>
        <v>0</v>
      </c>
      <c r="BI20" s="15">
        <f>G20*AP20</f>
        <v>0</v>
      </c>
      <c r="BJ20" s="15">
        <f>G20*H20</f>
        <v>0</v>
      </c>
    </row>
    <row r="21" spans="1:47" ht="12.75">
      <c r="A21" s="4"/>
      <c r="B21" s="13" t="s">
        <v>23</v>
      </c>
      <c r="C21" s="80" t="s">
        <v>100</v>
      </c>
      <c r="D21" s="81"/>
      <c r="E21" s="81"/>
      <c r="F21" s="4" t="s">
        <v>6</v>
      </c>
      <c r="G21" s="4" t="s">
        <v>6</v>
      </c>
      <c r="H21" s="4" t="s">
        <v>6</v>
      </c>
      <c r="I21" s="35">
        <f>SUM(I22:I23)</f>
        <v>0</v>
      </c>
      <c r="J21" s="35">
        <f>SUM(J22:J23)</f>
        <v>0</v>
      </c>
      <c r="K21" s="35">
        <f>SUM(K22:K23)</f>
        <v>0</v>
      </c>
      <c r="L21" s="38">
        <f>IF(K70=0,0,K21/K70)</f>
        <v>0</v>
      </c>
      <c r="M21" s="26"/>
      <c r="AI21" s="26" t="s">
        <v>181</v>
      </c>
      <c r="AS21" s="35">
        <f>SUM(AJ22:AJ23)</f>
        <v>0</v>
      </c>
      <c r="AT21" s="35">
        <f>SUM(AK22:AK23)</f>
        <v>0</v>
      </c>
      <c r="AU21" s="35">
        <f>SUM(AL22:AL23)</f>
        <v>0</v>
      </c>
    </row>
    <row r="22" spans="1:62" ht="12.75">
      <c r="A22" s="5" t="s">
        <v>13</v>
      </c>
      <c r="B22" s="5" t="s">
        <v>50</v>
      </c>
      <c r="C22" s="78" t="s">
        <v>101</v>
      </c>
      <c r="D22" s="79"/>
      <c r="E22" s="79"/>
      <c r="F22" s="5" t="s">
        <v>148</v>
      </c>
      <c r="G22" s="69">
        <v>7</v>
      </c>
      <c r="H22" s="15">
        <v>0</v>
      </c>
      <c r="I22" s="15">
        <f>G22*AO22</f>
        <v>0</v>
      </c>
      <c r="J22" s="15">
        <f>G22*AP22</f>
        <v>0</v>
      </c>
      <c r="K22" s="15">
        <f>G22*H22</f>
        <v>0</v>
      </c>
      <c r="L22" s="39">
        <f>IF(K70=0,0,K22/K70)</f>
        <v>0</v>
      </c>
      <c r="M22" s="27" t="s">
        <v>171</v>
      </c>
      <c r="Z22" s="32">
        <f>IF(AQ22="5",BJ22,0)</f>
        <v>0</v>
      </c>
      <c r="AB22" s="32">
        <f>IF(AQ22="1",BH22,0)</f>
        <v>0</v>
      </c>
      <c r="AC22" s="32">
        <f>IF(AQ22="1",BI22,0)</f>
        <v>0</v>
      </c>
      <c r="AD22" s="32">
        <f>IF(AQ22="7",BH22,0)</f>
        <v>0</v>
      </c>
      <c r="AE22" s="32">
        <f>IF(AQ22="7",BI22,0)</f>
        <v>0</v>
      </c>
      <c r="AF22" s="32">
        <f>IF(AQ22="2",BH22,0)</f>
        <v>0</v>
      </c>
      <c r="AG22" s="32">
        <f>IF(AQ22="2",BI22,0)</f>
        <v>0</v>
      </c>
      <c r="AH22" s="32">
        <f>IF(AQ22="0",BJ22,0)</f>
        <v>0</v>
      </c>
      <c r="AI22" s="26" t="s">
        <v>181</v>
      </c>
      <c r="AJ22" s="15">
        <f>IF(AN22=0,K22,0)</f>
        <v>0</v>
      </c>
      <c r="AK22" s="15">
        <f>IF(AN22=15,K22,0)</f>
        <v>0</v>
      </c>
      <c r="AL22" s="15">
        <f>IF(AN22=21,K22,0)</f>
        <v>0</v>
      </c>
      <c r="AN22" s="32">
        <v>21</v>
      </c>
      <c r="AO22" s="32">
        <f>H22*0</f>
        <v>0</v>
      </c>
      <c r="AP22" s="32">
        <f>H22*(1-0)</f>
        <v>0</v>
      </c>
      <c r="AQ22" s="27" t="s">
        <v>7</v>
      </c>
      <c r="AV22" s="32">
        <f>AW22+AX22</f>
        <v>0</v>
      </c>
      <c r="AW22" s="32">
        <f>G22*AO22</f>
        <v>0</v>
      </c>
      <c r="AX22" s="32">
        <f>G22*AP22</f>
        <v>0</v>
      </c>
      <c r="AY22" s="33" t="s">
        <v>184</v>
      </c>
      <c r="AZ22" s="33" t="s">
        <v>199</v>
      </c>
      <c r="BA22" s="26" t="s">
        <v>207</v>
      </c>
      <c r="BC22" s="32">
        <f>AW22+AX22</f>
        <v>0</v>
      </c>
      <c r="BD22" s="32">
        <f>H22/(100-BE22)*100</f>
        <v>0</v>
      </c>
      <c r="BE22" s="32">
        <v>0</v>
      </c>
      <c r="BF22" s="32">
        <f>22</f>
        <v>22</v>
      </c>
      <c r="BH22" s="15">
        <f>G22*AO22</f>
        <v>0</v>
      </c>
      <c r="BI22" s="15">
        <f>G22*AP22</f>
        <v>0</v>
      </c>
      <c r="BJ22" s="15">
        <f>G22*H22</f>
        <v>0</v>
      </c>
    </row>
    <row r="23" spans="1:62" ht="12.75">
      <c r="A23" s="5" t="s">
        <v>14</v>
      </c>
      <c r="B23" s="5" t="s">
        <v>51</v>
      </c>
      <c r="C23" s="78" t="s">
        <v>102</v>
      </c>
      <c r="D23" s="79"/>
      <c r="E23" s="79"/>
      <c r="F23" s="5" t="s">
        <v>148</v>
      </c>
      <c r="G23" s="69">
        <v>1</v>
      </c>
      <c r="H23" s="15">
        <v>0</v>
      </c>
      <c r="I23" s="15">
        <f>G23*AO23</f>
        <v>0</v>
      </c>
      <c r="J23" s="15">
        <f>G23*AP23</f>
        <v>0</v>
      </c>
      <c r="K23" s="15">
        <f>G23*H23</f>
        <v>0</v>
      </c>
      <c r="L23" s="39">
        <f>IF(K70=0,0,K23/K70)</f>
        <v>0</v>
      </c>
      <c r="M23" s="27" t="s">
        <v>171</v>
      </c>
      <c r="Z23" s="32">
        <f>IF(AQ23="5",BJ23,0)</f>
        <v>0</v>
      </c>
      <c r="AB23" s="32">
        <f>IF(AQ23="1",BH23,0)</f>
        <v>0</v>
      </c>
      <c r="AC23" s="32">
        <f>IF(AQ23="1",BI23,0)</f>
        <v>0</v>
      </c>
      <c r="AD23" s="32">
        <f>IF(AQ23="7",BH23,0)</f>
        <v>0</v>
      </c>
      <c r="AE23" s="32">
        <f>IF(AQ23="7",BI23,0)</f>
        <v>0</v>
      </c>
      <c r="AF23" s="32">
        <f>IF(AQ23="2",BH23,0)</f>
        <v>0</v>
      </c>
      <c r="AG23" s="32">
        <f>IF(AQ23="2",BI23,0)</f>
        <v>0</v>
      </c>
      <c r="AH23" s="32">
        <f>IF(AQ23="0",BJ23,0)</f>
        <v>0</v>
      </c>
      <c r="AI23" s="26" t="s">
        <v>181</v>
      </c>
      <c r="AJ23" s="15">
        <f>IF(AN23=0,K23,0)</f>
        <v>0</v>
      </c>
      <c r="AK23" s="15">
        <f>IF(AN23=15,K23,0)</f>
        <v>0</v>
      </c>
      <c r="AL23" s="15">
        <f>IF(AN23=21,K23,0)</f>
        <v>0</v>
      </c>
      <c r="AN23" s="32">
        <v>21</v>
      </c>
      <c r="AO23" s="32">
        <f>H23*0</f>
        <v>0</v>
      </c>
      <c r="AP23" s="32">
        <f>H23*(1-0)</f>
        <v>0</v>
      </c>
      <c r="AQ23" s="27" t="s">
        <v>7</v>
      </c>
      <c r="AV23" s="32">
        <f>AW23+AX23</f>
        <v>0</v>
      </c>
      <c r="AW23" s="32">
        <f>G23*AO23</f>
        <v>0</v>
      </c>
      <c r="AX23" s="32">
        <f>G23*AP23</f>
        <v>0</v>
      </c>
      <c r="AY23" s="33" t="s">
        <v>184</v>
      </c>
      <c r="AZ23" s="33" t="s">
        <v>199</v>
      </c>
      <c r="BA23" s="26" t="s">
        <v>207</v>
      </c>
      <c r="BC23" s="32">
        <f>AW23+AX23</f>
        <v>0</v>
      </c>
      <c r="BD23" s="32">
        <f>H23/(100-BE23)*100</f>
        <v>0</v>
      </c>
      <c r="BE23" s="32">
        <v>0</v>
      </c>
      <c r="BF23" s="32">
        <f>23</f>
        <v>23</v>
      </c>
      <c r="BH23" s="15">
        <f>G23*AO23</f>
        <v>0</v>
      </c>
      <c r="BI23" s="15">
        <f>G23*AP23</f>
        <v>0</v>
      </c>
      <c r="BJ23" s="15">
        <f>G23*H23</f>
        <v>0</v>
      </c>
    </row>
    <row r="24" spans="1:47" ht="12.75">
      <c r="A24" s="4"/>
      <c r="B24" s="13" t="s">
        <v>24</v>
      </c>
      <c r="C24" s="80" t="s">
        <v>103</v>
      </c>
      <c r="D24" s="81"/>
      <c r="E24" s="81"/>
      <c r="F24" s="4" t="s">
        <v>6</v>
      </c>
      <c r="G24" s="4" t="s">
        <v>6</v>
      </c>
      <c r="H24" s="4" t="s">
        <v>6</v>
      </c>
      <c r="I24" s="35">
        <f>SUM(I25:I29)</f>
        <v>0</v>
      </c>
      <c r="J24" s="35">
        <f>SUM(J25:J29)</f>
        <v>0</v>
      </c>
      <c r="K24" s="35">
        <f>SUM(K25:K29)</f>
        <v>0</v>
      </c>
      <c r="L24" s="38">
        <f>IF(K70=0,0,K24/K70)</f>
        <v>0</v>
      </c>
      <c r="M24" s="26"/>
      <c r="AI24" s="26" t="s">
        <v>181</v>
      </c>
      <c r="AS24" s="35">
        <f>SUM(AJ25:AJ29)</f>
        <v>0</v>
      </c>
      <c r="AT24" s="35">
        <f>SUM(AK25:AK29)</f>
        <v>0</v>
      </c>
      <c r="AU24" s="35">
        <f>SUM(AL25:AL29)</f>
        <v>0</v>
      </c>
    </row>
    <row r="25" spans="1:62" ht="12.75">
      <c r="A25" s="5" t="s">
        <v>15</v>
      </c>
      <c r="B25" s="5" t="s">
        <v>52</v>
      </c>
      <c r="C25" s="78" t="s">
        <v>104</v>
      </c>
      <c r="D25" s="79"/>
      <c r="E25" s="79"/>
      <c r="F25" s="5" t="s">
        <v>149</v>
      </c>
      <c r="G25" s="69">
        <v>10</v>
      </c>
      <c r="H25" s="15">
        <v>0</v>
      </c>
      <c r="I25" s="15">
        <f>G25*AO25</f>
        <v>0</v>
      </c>
      <c r="J25" s="15">
        <f>G25*AP25</f>
        <v>0</v>
      </c>
      <c r="K25" s="15">
        <f>G25*H25</f>
        <v>0</v>
      </c>
      <c r="L25" s="39">
        <f>IF(K70=0,0,K25/K70)</f>
        <v>0</v>
      </c>
      <c r="M25" s="27" t="s">
        <v>171</v>
      </c>
      <c r="Z25" s="32">
        <f>IF(AQ25="5",BJ25,0)</f>
        <v>0</v>
      </c>
      <c r="AB25" s="32">
        <f>IF(AQ25="1",BH25,0)</f>
        <v>0</v>
      </c>
      <c r="AC25" s="32">
        <f>IF(AQ25="1",BI25,0)</f>
        <v>0</v>
      </c>
      <c r="AD25" s="32">
        <f>IF(AQ25="7",BH25,0)</f>
        <v>0</v>
      </c>
      <c r="AE25" s="32">
        <f>IF(AQ25="7",BI25,0)</f>
        <v>0</v>
      </c>
      <c r="AF25" s="32">
        <f>IF(AQ25="2",BH25,0)</f>
        <v>0</v>
      </c>
      <c r="AG25" s="32">
        <f>IF(AQ25="2",BI25,0)</f>
        <v>0</v>
      </c>
      <c r="AH25" s="32">
        <f>IF(AQ25="0",BJ25,0)</f>
        <v>0</v>
      </c>
      <c r="AI25" s="26" t="s">
        <v>181</v>
      </c>
      <c r="AJ25" s="15">
        <f>IF(AN25=0,K25,0)</f>
        <v>0</v>
      </c>
      <c r="AK25" s="15">
        <f>IF(AN25=15,K25,0)</f>
        <v>0</v>
      </c>
      <c r="AL25" s="15">
        <f>IF(AN25=21,K25,0)</f>
        <v>0</v>
      </c>
      <c r="AN25" s="32">
        <v>21</v>
      </c>
      <c r="AO25" s="32">
        <f>H25*0.0450212765957447</f>
        <v>0</v>
      </c>
      <c r="AP25" s="32">
        <f>H25*(1-0.0450212765957447)</f>
        <v>0</v>
      </c>
      <c r="AQ25" s="27" t="s">
        <v>7</v>
      </c>
      <c r="AV25" s="32">
        <f>AW25+AX25</f>
        <v>0</v>
      </c>
      <c r="AW25" s="32">
        <f>G25*AO25</f>
        <v>0</v>
      </c>
      <c r="AX25" s="32">
        <f>G25*AP25</f>
        <v>0</v>
      </c>
      <c r="AY25" s="33" t="s">
        <v>185</v>
      </c>
      <c r="AZ25" s="33" t="s">
        <v>199</v>
      </c>
      <c r="BA25" s="26" t="s">
        <v>207</v>
      </c>
      <c r="BC25" s="32">
        <f>AW25+AX25</f>
        <v>0</v>
      </c>
      <c r="BD25" s="32">
        <f>H25/(100-BE25)*100</f>
        <v>0</v>
      </c>
      <c r="BE25" s="32">
        <v>0</v>
      </c>
      <c r="BF25" s="32">
        <f>25</f>
        <v>25</v>
      </c>
      <c r="BH25" s="15">
        <f>G25*AO25</f>
        <v>0</v>
      </c>
      <c r="BI25" s="15">
        <f>G25*AP25</f>
        <v>0</v>
      </c>
      <c r="BJ25" s="15">
        <f>G25*H25</f>
        <v>0</v>
      </c>
    </row>
    <row r="26" spans="3:5" ht="12.75">
      <c r="C26" s="84" t="s">
        <v>105</v>
      </c>
      <c r="D26" s="85"/>
      <c r="E26" s="85"/>
    </row>
    <row r="27" spans="1:62" ht="12.75">
      <c r="A27" s="5" t="s">
        <v>16</v>
      </c>
      <c r="B27" s="5" t="s">
        <v>53</v>
      </c>
      <c r="C27" s="78" t="s">
        <v>106</v>
      </c>
      <c r="D27" s="79"/>
      <c r="E27" s="79"/>
      <c r="F27" s="5" t="s">
        <v>148</v>
      </c>
      <c r="G27" s="69">
        <v>12.6</v>
      </c>
      <c r="H27" s="15">
        <v>0</v>
      </c>
      <c r="I27" s="15">
        <f>G27*AO27</f>
        <v>0</v>
      </c>
      <c r="J27" s="15">
        <f>G27*AP27</f>
        <v>0</v>
      </c>
      <c r="K27" s="15">
        <f>G27*H27</f>
        <v>0</v>
      </c>
      <c r="L27" s="39">
        <f>IF(K70=0,0,K27/K70)</f>
        <v>0</v>
      </c>
      <c r="M27" s="27" t="s">
        <v>171</v>
      </c>
      <c r="Z27" s="32">
        <f>IF(AQ27="5",BJ27,0)</f>
        <v>0</v>
      </c>
      <c r="AB27" s="32">
        <f>IF(AQ27="1",BH27,0)</f>
        <v>0</v>
      </c>
      <c r="AC27" s="32">
        <f>IF(AQ27="1",BI27,0)</f>
        <v>0</v>
      </c>
      <c r="AD27" s="32">
        <f>IF(AQ27="7",BH27,0)</f>
        <v>0</v>
      </c>
      <c r="AE27" s="32">
        <f>IF(AQ27="7",BI27,0)</f>
        <v>0</v>
      </c>
      <c r="AF27" s="32">
        <f>IF(AQ27="2",BH27,0)</f>
        <v>0</v>
      </c>
      <c r="AG27" s="32">
        <f>IF(AQ27="2",BI27,0)</f>
        <v>0</v>
      </c>
      <c r="AH27" s="32">
        <f>IF(AQ27="0",BJ27,0)</f>
        <v>0</v>
      </c>
      <c r="AI27" s="26" t="s">
        <v>181</v>
      </c>
      <c r="AJ27" s="15">
        <f>IF(AN27=0,K27,0)</f>
        <v>0</v>
      </c>
      <c r="AK27" s="15">
        <f>IF(AN27=15,K27,0)</f>
        <v>0</v>
      </c>
      <c r="AL27" s="15">
        <f>IF(AN27=21,K27,0)</f>
        <v>0</v>
      </c>
      <c r="AN27" s="32">
        <v>21</v>
      </c>
      <c r="AO27" s="32">
        <f>H27*0</f>
        <v>0</v>
      </c>
      <c r="AP27" s="32">
        <f>H27*(1-0)</f>
        <v>0</v>
      </c>
      <c r="AQ27" s="27" t="s">
        <v>7</v>
      </c>
      <c r="AV27" s="32">
        <f>AW27+AX27</f>
        <v>0</v>
      </c>
      <c r="AW27" s="32">
        <f>G27*AO27</f>
        <v>0</v>
      </c>
      <c r="AX27" s="32">
        <f>G27*AP27</f>
        <v>0</v>
      </c>
      <c r="AY27" s="33" t="s">
        <v>185</v>
      </c>
      <c r="AZ27" s="33" t="s">
        <v>199</v>
      </c>
      <c r="BA27" s="26" t="s">
        <v>207</v>
      </c>
      <c r="BC27" s="32">
        <f>AW27+AX27</f>
        <v>0</v>
      </c>
      <c r="BD27" s="32">
        <f>H27/(100-BE27)*100</f>
        <v>0</v>
      </c>
      <c r="BE27" s="32">
        <v>0</v>
      </c>
      <c r="BF27" s="32">
        <f>27</f>
        <v>27</v>
      </c>
      <c r="BH27" s="15">
        <f>G27*AO27</f>
        <v>0</v>
      </c>
      <c r="BI27" s="15">
        <f>G27*AP27</f>
        <v>0</v>
      </c>
      <c r="BJ27" s="15">
        <f>G27*H27</f>
        <v>0</v>
      </c>
    </row>
    <row r="28" spans="1:62" ht="12.75">
      <c r="A28" s="5" t="s">
        <v>17</v>
      </c>
      <c r="B28" s="5" t="s">
        <v>54</v>
      </c>
      <c r="C28" s="78" t="s">
        <v>107</v>
      </c>
      <c r="D28" s="79"/>
      <c r="E28" s="79"/>
      <c r="F28" s="5" t="s">
        <v>149</v>
      </c>
      <c r="G28" s="69">
        <v>42</v>
      </c>
      <c r="H28" s="15">
        <v>0</v>
      </c>
      <c r="I28" s="15">
        <f>G28*AO28</f>
        <v>0</v>
      </c>
      <c r="J28" s="15">
        <f>G28*AP28</f>
        <v>0</v>
      </c>
      <c r="K28" s="15">
        <f>G28*H28</f>
        <v>0</v>
      </c>
      <c r="L28" s="39">
        <f>IF(K70=0,0,K28/K70)</f>
        <v>0</v>
      </c>
      <c r="M28" s="27" t="s">
        <v>171</v>
      </c>
      <c r="Z28" s="32">
        <f>IF(AQ28="5",BJ28,0)</f>
        <v>0</v>
      </c>
      <c r="AB28" s="32">
        <f>IF(AQ28="1",BH28,0)</f>
        <v>0</v>
      </c>
      <c r="AC28" s="32">
        <f>IF(AQ28="1",BI28,0)</f>
        <v>0</v>
      </c>
      <c r="AD28" s="32">
        <f>IF(AQ28="7",BH28,0)</f>
        <v>0</v>
      </c>
      <c r="AE28" s="32">
        <f>IF(AQ28="7",BI28,0)</f>
        <v>0</v>
      </c>
      <c r="AF28" s="32">
        <f>IF(AQ28="2",BH28,0)</f>
        <v>0</v>
      </c>
      <c r="AG28" s="32">
        <f>IF(AQ28="2",BI28,0)</f>
        <v>0</v>
      </c>
      <c r="AH28" s="32">
        <f>IF(AQ28="0",BJ28,0)</f>
        <v>0</v>
      </c>
      <c r="AI28" s="26" t="s">
        <v>181</v>
      </c>
      <c r="AJ28" s="15">
        <f>IF(AN28=0,K28,0)</f>
        <v>0</v>
      </c>
      <c r="AK28" s="15">
        <f>IF(AN28=15,K28,0)</f>
        <v>0</v>
      </c>
      <c r="AL28" s="15">
        <f>IF(AN28=21,K28,0)</f>
        <v>0</v>
      </c>
      <c r="AN28" s="32">
        <v>21</v>
      </c>
      <c r="AO28" s="32">
        <f>H28*0</f>
        <v>0</v>
      </c>
      <c r="AP28" s="32">
        <f>H28*(1-0)</f>
        <v>0</v>
      </c>
      <c r="AQ28" s="27" t="s">
        <v>7</v>
      </c>
      <c r="AV28" s="32">
        <f>AW28+AX28</f>
        <v>0</v>
      </c>
      <c r="AW28" s="32">
        <f>G28*AO28</f>
        <v>0</v>
      </c>
      <c r="AX28" s="32">
        <f>G28*AP28</f>
        <v>0</v>
      </c>
      <c r="AY28" s="33" t="s">
        <v>185</v>
      </c>
      <c r="AZ28" s="33" t="s">
        <v>199</v>
      </c>
      <c r="BA28" s="26" t="s">
        <v>207</v>
      </c>
      <c r="BC28" s="32">
        <f>AW28+AX28</f>
        <v>0</v>
      </c>
      <c r="BD28" s="32">
        <f>H28/(100-BE28)*100</f>
        <v>0</v>
      </c>
      <c r="BE28" s="32">
        <v>0</v>
      </c>
      <c r="BF28" s="32">
        <f>28</f>
        <v>28</v>
      </c>
      <c r="BH28" s="15">
        <f>G28*AO28</f>
        <v>0</v>
      </c>
      <c r="BI28" s="15">
        <f>G28*AP28</f>
        <v>0</v>
      </c>
      <c r="BJ28" s="15">
        <f>G28*H28</f>
        <v>0</v>
      </c>
    </row>
    <row r="29" spans="1:62" ht="12.75">
      <c r="A29" s="5" t="s">
        <v>18</v>
      </c>
      <c r="B29" s="5" t="s">
        <v>55</v>
      </c>
      <c r="C29" s="78" t="s">
        <v>108</v>
      </c>
      <c r="D29" s="79"/>
      <c r="E29" s="79"/>
      <c r="F29" s="5" t="s">
        <v>149</v>
      </c>
      <c r="G29" s="69">
        <v>403</v>
      </c>
      <c r="H29" s="15">
        <v>0</v>
      </c>
      <c r="I29" s="15">
        <f>G29*AO29</f>
        <v>0</v>
      </c>
      <c r="J29" s="15">
        <f>G29*AP29</f>
        <v>0</v>
      </c>
      <c r="K29" s="15">
        <f>G29*H29</f>
        <v>0</v>
      </c>
      <c r="L29" s="39">
        <f>IF(K70=0,0,K29/K70)</f>
        <v>0</v>
      </c>
      <c r="M29" s="27" t="s">
        <v>171</v>
      </c>
      <c r="Z29" s="32">
        <f>IF(AQ29="5",BJ29,0)</f>
        <v>0</v>
      </c>
      <c r="AB29" s="32">
        <f>IF(AQ29="1",BH29,0)</f>
        <v>0</v>
      </c>
      <c r="AC29" s="32">
        <f>IF(AQ29="1",BI29,0)</f>
        <v>0</v>
      </c>
      <c r="AD29" s="32">
        <f>IF(AQ29="7",BH29,0)</f>
        <v>0</v>
      </c>
      <c r="AE29" s="32">
        <f>IF(AQ29="7",BI29,0)</f>
        <v>0</v>
      </c>
      <c r="AF29" s="32">
        <f>IF(AQ29="2",BH29,0)</f>
        <v>0</v>
      </c>
      <c r="AG29" s="32">
        <f>IF(AQ29="2",BI29,0)</f>
        <v>0</v>
      </c>
      <c r="AH29" s="32">
        <f>IF(AQ29="0",BJ29,0)</f>
        <v>0</v>
      </c>
      <c r="AI29" s="26" t="s">
        <v>181</v>
      </c>
      <c r="AJ29" s="15">
        <f>IF(AN29=0,K29,0)</f>
        <v>0</v>
      </c>
      <c r="AK29" s="15">
        <f>IF(AN29=15,K29,0)</f>
        <v>0</v>
      </c>
      <c r="AL29" s="15">
        <f>IF(AN29=21,K29,0)</f>
        <v>0</v>
      </c>
      <c r="AN29" s="32">
        <v>21</v>
      </c>
      <c r="AO29" s="32">
        <f>H29*0</f>
        <v>0</v>
      </c>
      <c r="AP29" s="32">
        <f>H29*(1-0)</f>
        <v>0</v>
      </c>
      <c r="AQ29" s="27" t="s">
        <v>7</v>
      </c>
      <c r="AV29" s="32">
        <f>AW29+AX29</f>
        <v>0</v>
      </c>
      <c r="AW29" s="32">
        <f>G29*AO29</f>
        <v>0</v>
      </c>
      <c r="AX29" s="32">
        <f>G29*AP29</f>
        <v>0</v>
      </c>
      <c r="AY29" s="33" t="s">
        <v>185</v>
      </c>
      <c r="AZ29" s="33" t="s">
        <v>199</v>
      </c>
      <c r="BA29" s="26" t="s">
        <v>207</v>
      </c>
      <c r="BC29" s="32">
        <f>AW29+AX29</f>
        <v>0</v>
      </c>
      <c r="BD29" s="32">
        <f>H29/(100-BE29)*100</f>
        <v>0</v>
      </c>
      <c r="BE29" s="32">
        <v>0</v>
      </c>
      <c r="BF29" s="32">
        <f>29</f>
        <v>29</v>
      </c>
      <c r="BH29" s="15">
        <f>G29*AO29</f>
        <v>0</v>
      </c>
      <c r="BI29" s="15">
        <f>G29*AP29</f>
        <v>0</v>
      </c>
      <c r="BJ29" s="15">
        <f>G29*H29</f>
        <v>0</v>
      </c>
    </row>
    <row r="30" spans="1:47" ht="12.75">
      <c r="A30" s="4"/>
      <c r="B30" s="13" t="s">
        <v>27</v>
      </c>
      <c r="C30" s="80" t="s">
        <v>109</v>
      </c>
      <c r="D30" s="81"/>
      <c r="E30" s="81"/>
      <c r="F30" s="4" t="s">
        <v>6</v>
      </c>
      <c r="G30" s="4" t="s">
        <v>6</v>
      </c>
      <c r="H30" s="4" t="s">
        <v>6</v>
      </c>
      <c r="I30" s="35">
        <f>SUM(I31:I31)</f>
        <v>0</v>
      </c>
      <c r="J30" s="35">
        <f>SUM(J31:J31)</f>
        <v>0</v>
      </c>
      <c r="K30" s="35">
        <f>SUM(K31:K31)</f>
        <v>0</v>
      </c>
      <c r="L30" s="38">
        <f>IF(K70=0,0,K30/K70)</f>
        <v>0</v>
      </c>
      <c r="M30" s="26"/>
      <c r="AI30" s="26" t="s">
        <v>181</v>
      </c>
      <c r="AS30" s="35">
        <f>SUM(AJ31:AJ31)</f>
        <v>0</v>
      </c>
      <c r="AT30" s="35">
        <f>SUM(AK31:AK31)</f>
        <v>0</v>
      </c>
      <c r="AU30" s="35">
        <f>SUM(AL31:AL31)</f>
        <v>0</v>
      </c>
    </row>
    <row r="31" spans="1:62" ht="12.75">
      <c r="A31" s="5" t="s">
        <v>19</v>
      </c>
      <c r="B31" s="5" t="s">
        <v>56</v>
      </c>
      <c r="C31" s="78" t="s">
        <v>110</v>
      </c>
      <c r="D31" s="79"/>
      <c r="E31" s="79"/>
      <c r="F31" s="5" t="s">
        <v>149</v>
      </c>
      <c r="G31" s="69">
        <v>200</v>
      </c>
      <c r="H31" s="15">
        <v>0</v>
      </c>
      <c r="I31" s="15">
        <f>G31*AO31</f>
        <v>0</v>
      </c>
      <c r="J31" s="15">
        <f>G31*AP31</f>
        <v>0</v>
      </c>
      <c r="K31" s="15">
        <f>G31*H31</f>
        <v>0</v>
      </c>
      <c r="L31" s="39">
        <f>IF(K70=0,0,K31/K70)</f>
        <v>0</v>
      </c>
      <c r="M31" s="27" t="s">
        <v>171</v>
      </c>
      <c r="Z31" s="32">
        <f>IF(AQ31="5",BJ31,0)</f>
        <v>0</v>
      </c>
      <c r="AB31" s="32">
        <f>IF(AQ31="1",BH31,0)</f>
        <v>0</v>
      </c>
      <c r="AC31" s="32">
        <f>IF(AQ31="1",BI31,0)</f>
        <v>0</v>
      </c>
      <c r="AD31" s="32">
        <f>IF(AQ31="7",BH31,0)</f>
        <v>0</v>
      </c>
      <c r="AE31" s="32">
        <f>IF(AQ31="7",BI31,0)</f>
        <v>0</v>
      </c>
      <c r="AF31" s="32">
        <f>IF(AQ31="2",BH31,0)</f>
        <v>0</v>
      </c>
      <c r="AG31" s="32">
        <f>IF(AQ31="2",BI31,0)</f>
        <v>0</v>
      </c>
      <c r="AH31" s="32">
        <f>IF(AQ31="0",BJ31,0)</f>
        <v>0</v>
      </c>
      <c r="AI31" s="26" t="s">
        <v>181</v>
      </c>
      <c r="AJ31" s="15">
        <f>IF(AN31=0,K31,0)</f>
        <v>0</v>
      </c>
      <c r="AK31" s="15">
        <f>IF(AN31=15,K31,0)</f>
        <v>0</v>
      </c>
      <c r="AL31" s="15">
        <f>IF(AN31=21,K31,0)</f>
        <v>0</v>
      </c>
      <c r="AN31" s="32">
        <v>21</v>
      </c>
      <c r="AO31" s="32">
        <f>H31*0</f>
        <v>0</v>
      </c>
      <c r="AP31" s="32">
        <f>H31*(1-0)</f>
        <v>0</v>
      </c>
      <c r="AQ31" s="27" t="s">
        <v>7</v>
      </c>
      <c r="AV31" s="32">
        <f>AW31+AX31</f>
        <v>0</v>
      </c>
      <c r="AW31" s="32">
        <f>G31*AO31</f>
        <v>0</v>
      </c>
      <c r="AX31" s="32">
        <f>G31*AP31</f>
        <v>0</v>
      </c>
      <c r="AY31" s="33" t="s">
        <v>186</v>
      </c>
      <c r="AZ31" s="33" t="s">
        <v>200</v>
      </c>
      <c r="BA31" s="26" t="s">
        <v>207</v>
      </c>
      <c r="BC31" s="32">
        <f>AW31+AX31</f>
        <v>0</v>
      </c>
      <c r="BD31" s="32">
        <f>H31/(100-BE31)*100</f>
        <v>0</v>
      </c>
      <c r="BE31" s="32">
        <v>0</v>
      </c>
      <c r="BF31" s="32">
        <f>31</f>
        <v>31</v>
      </c>
      <c r="BH31" s="15">
        <f>G31*AO31</f>
        <v>0</v>
      </c>
      <c r="BI31" s="15">
        <f>G31*AP31</f>
        <v>0</v>
      </c>
      <c r="BJ31" s="15">
        <f>G31*H31</f>
        <v>0</v>
      </c>
    </row>
    <row r="32" spans="1:47" ht="12.75">
      <c r="A32" s="4"/>
      <c r="B32" s="13" t="s">
        <v>33</v>
      </c>
      <c r="C32" s="80" t="s">
        <v>111</v>
      </c>
      <c r="D32" s="81"/>
      <c r="E32" s="81"/>
      <c r="F32" s="4" t="s">
        <v>6</v>
      </c>
      <c r="G32" s="4" t="s">
        <v>6</v>
      </c>
      <c r="H32" s="4" t="s">
        <v>6</v>
      </c>
      <c r="I32" s="35">
        <f>SUM(I33:I34)</f>
        <v>0</v>
      </c>
      <c r="J32" s="35">
        <f>SUM(J33:J34)</f>
        <v>0</v>
      </c>
      <c r="K32" s="35">
        <f>SUM(K33:K34)</f>
        <v>0</v>
      </c>
      <c r="L32" s="38">
        <f>IF(K70=0,0,K32/K70)</f>
        <v>0</v>
      </c>
      <c r="M32" s="26"/>
      <c r="AI32" s="26" t="s">
        <v>181</v>
      </c>
      <c r="AS32" s="35">
        <f>SUM(AJ33:AJ34)</f>
        <v>0</v>
      </c>
      <c r="AT32" s="35">
        <f>SUM(AK33:AK34)</f>
        <v>0</v>
      </c>
      <c r="AU32" s="35">
        <f>SUM(AL33:AL34)</f>
        <v>0</v>
      </c>
    </row>
    <row r="33" spans="1:62" ht="12.75">
      <c r="A33" s="5" t="s">
        <v>20</v>
      </c>
      <c r="B33" s="5" t="s">
        <v>57</v>
      </c>
      <c r="C33" s="78" t="s">
        <v>112</v>
      </c>
      <c r="D33" s="79"/>
      <c r="E33" s="79"/>
      <c r="F33" s="5" t="s">
        <v>149</v>
      </c>
      <c r="G33" s="69">
        <v>6.9</v>
      </c>
      <c r="H33" s="15">
        <v>0</v>
      </c>
      <c r="I33" s="15">
        <f>G33*AO33</f>
        <v>0</v>
      </c>
      <c r="J33" s="15">
        <f>G33*AP33</f>
        <v>0</v>
      </c>
      <c r="K33" s="15">
        <f>G33*H33</f>
        <v>0</v>
      </c>
      <c r="L33" s="39">
        <f>IF(K70=0,0,K33/K70)</f>
        <v>0</v>
      </c>
      <c r="M33" s="27" t="s">
        <v>171</v>
      </c>
      <c r="Z33" s="32">
        <f>IF(AQ33="5",BJ33,0)</f>
        <v>0</v>
      </c>
      <c r="AB33" s="32">
        <f>IF(AQ33="1",BH33,0)</f>
        <v>0</v>
      </c>
      <c r="AC33" s="32">
        <f>IF(AQ33="1",BI33,0)</f>
        <v>0</v>
      </c>
      <c r="AD33" s="32">
        <f>IF(AQ33="7",BH33,0)</f>
        <v>0</v>
      </c>
      <c r="AE33" s="32">
        <f>IF(AQ33="7",BI33,0)</f>
        <v>0</v>
      </c>
      <c r="AF33" s="32">
        <f>IF(AQ33="2",BH33,0)</f>
        <v>0</v>
      </c>
      <c r="AG33" s="32">
        <f>IF(AQ33="2",BI33,0)</f>
        <v>0</v>
      </c>
      <c r="AH33" s="32">
        <f>IF(AQ33="0",BJ33,0)</f>
        <v>0</v>
      </c>
      <c r="AI33" s="26" t="s">
        <v>181</v>
      </c>
      <c r="AJ33" s="15">
        <f>IF(AN33=0,K33,0)</f>
        <v>0</v>
      </c>
      <c r="AK33" s="15">
        <f>IF(AN33=15,K33,0)</f>
        <v>0</v>
      </c>
      <c r="AL33" s="15">
        <f>IF(AN33=21,K33,0)</f>
        <v>0</v>
      </c>
      <c r="AN33" s="32">
        <v>21</v>
      </c>
      <c r="AO33" s="32">
        <f>H33*0</f>
        <v>0</v>
      </c>
      <c r="AP33" s="32">
        <f>H33*(1-0)</f>
        <v>0</v>
      </c>
      <c r="AQ33" s="27" t="s">
        <v>7</v>
      </c>
      <c r="AV33" s="32">
        <f>AW33+AX33</f>
        <v>0</v>
      </c>
      <c r="AW33" s="32">
        <f>G33*AO33</f>
        <v>0</v>
      </c>
      <c r="AX33" s="32">
        <f>G33*AP33</f>
        <v>0</v>
      </c>
      <c r="AY33" s="33" t="s">
        <v>187</v>
      </c>
      <c r="AZ33" s="33" t="s">
        <v>200</v>
      </c>
      <c r="BA33" s="26" t="s">
        <v>207</v>
      </c>
      <c r="BC33" s="32">
        <f>AW33+AX33</f>
        <v>0</v>
      </c>
      <c r="BD33" s="32">
        <f>H33/(100-BE33)*100</f>
        <v>0</v>
      </c>
      <c r="BE33" s="32">
        <v>0</v>
      </c>
      <c r="BF33" s="32">
        <f>33</f>
        <v>33</v>
      </c>
      <c r="BH33" s="15">
        <f>G33*AO33</f>
        <v>0</v>
      </c>
      <c r="BI33" s="15">
        <f>G33*AP33</f>
        <v>0</v>
      </c>
      <c r="BJ33" s="15">
        <f>G33*H33</f>
        <v>0</v>
      </c>
    </row>
    <row r="34" spans="1:62" ht="12.75">
      <c r="A34" s="5" t="s">
        <v>21</v>
      </c>
      <c r="B34" s="5" t="s">
        <v>58</v>
      </c>
      <c r="C34" s="78" t="s">
        <v>113</v>
      </c>
      <c r="D34" s="79"/>
      <c r="E34" s="79"/>
      <c r="F34" s="5" t="s">
        <v>148</v>
      </c>
      <c r="G34" s="69">
        <v>4.9</v>
      </c>
      <c r="H34" s="15">
        <v>0</v>
      </c>
      <c r="I34" s="15">
        <f>G34*AO34</f>
        <v>0</v>
      </c>
      <c r="J34" s="15">
        <f>G34*AP34</f>
        <v>0</v>
      </c>
      <c r="K34" s="15">
        <f>G34*H34</f>
        <v>0</v>
      </c>
      <c r="L34" s="39">
        <f>IF(K70=0,0,K34/K70)</f>
        <v>0</v>
      </c>
      <c r="M34" s="27" t="s">
        <v>171</v>
      </c>
      <c r="Z34" s="32">
        <f>IF(AQ34="5",BJ34,0)</f>
        <v>0</v>
      </c>
      <c r="AB34" s="32">
        <f>IF(AQ34="1",BH34,0)</f>
        <v>0</v>
      </c>
      <c r="AC34" s="32">
        <f>IF(AQ34="1",BI34,0)</f>
        <v>0</v>
      </c>
      <c r="AD34" s="32">
        <f>IF(AQ34="7",BH34,0)</f>
        <v>0</v>
      </c>
      <c r="AE34" s="32">
        <f>IF(AQ34="7",BI34,0)</f>
        <v>0</v>
      </c>
      <c r="AF34" s="32">
        <f>IF(AQ34="2",BH34,0)</f>
        <v>0</v>
      </c>
      <c r="AG34" s="32">
        <f>IF(AQ34="2",BI34,0)</f>
        <v>0</v>
      </c>
      <c r="AH34" s="32">
        <f>IF(AQ34="0",BJ34,0)</f>
        <v>0</v>
      </c>
      <c r="AI34" s="26" t="s">
        <v>181</v>
      </c>
      <c r="AJ34" s="15">
        <f>IF(AN34=0,K34,0)</f>
        <v>0</v>
      </c>
      <c r="AK34" s="15">
        <f>IF(AN34=15,K34,0)</f>
        <v>0</v>
      </c>
      <c r="AL34" s="15">
        <f>IF(AN34=21,K34,0)</f>
        <v>0</v>
      </c>
      <c r="AN34" s="32">
        <v>21</v>
      </c>
      <c r="AO34" s="32">
        <f>H34*0.893093047630139</f>
        <v>0</v>
      </c>
      <c r="AP34" s="32">
        <f>H34*(1-0.893093047630139)</f>
        <v>0</v>
      </c>
      <c r="AQ34" s="27" t="s">
        <v>7</v>
      </c>
      <c r="AV34" s="32">
        <f>AW34+AX34</f>
        <v>0</v>
      </c>
      <c r="AW34" s="32">
        <f>G34*AO34</f>
        <v>0</v>
      </c>
      <c r="AX34" s="32">
        <f>G34*AP34</f>
        <v>0</v>
      </c>
      <c r="AY34" s="33" t="s">
        <v>187</v>
      </c>
      <c r="AZ34" s="33" t="s">
        <v>200</v>
      </c>
      <c r="BA34" s="26" t="s">
        <v>207</v>
      </c>
      <c r="BC34" s="32">
        <f>AW34+AX34</f>
        <v>0</v>
      </c>
      <c r="BD34" s="32">
        <f>H34/(100-BE34)*100</f>
        <v>0</v>
      </c>
      <c r="BE34" s="32">
        <v>0</v>
      </c>
      <c r="BF34" s="32">
        <f>34</f>
        <v>34</v>
      </c>
      <c r="BH34" s="15">
        <f>G34*AO34</f>
        <v>0</v>
      </c>
      <c r="BI34" s="15">
        <f>G34*AP34</f>
        <v>0</v>
      </c>
      <c r="BJ34" s="15">
        <f>G34*H34</f>
        <v>0</v>
      </c>
    </row>
    <row r="35" spans="1:47" ht="12.75">
      <c r="A35" s="4"/>
      <c r="B35" s="13" t="s">
        <v>37</v>
      </c>
      <c r="C35" s="80" t="s">
        <v>114</v>
      </c>
      <c r="D35" s="81"/>
      <c r="E35" s="81"/>
      <c r="F35" s="4" t="s">
        <v>6</v>
      </c>
      <c r="G35" s="4" t="s">
        <v>6</v>
      </c>
      <c r="H35" s="4" t="s">
        <v>6</v>
      </c>
      <c r="I35" s="35">
        <f>SUM(I36:I39)</f>
        <v>0</v>
      </c>
      <c r="J35" s="35">
        <f>SUM(J36:J39)</f>
        <v>0</v>
      </c>
      <c r="K35" s="35">
        <f>SUM(K36:K39)</f>
        <v>0</v>
      </c>
      <c r="L35" s="38">
        <f>IF(K70=0,0,K35/K70)</f>
        <v>0</v>
      </c>
      <c r="M35" s="26"/>
      <c r="AI35" s="26" t="s">
        <v>181</v>
      </c>
      <c r="AS35" s="35">
        <f>SUM(AJ36:AJ39)</f>
        <v>0</v>
      </c>
      <c r="AT35" s="35">
        <f>SUM(AK36:AK39)</f>
        <v>0</v>
      </c>
      <c r="AU35" s="35">
        <f>SUM(AL36:AL39)</f>
        <v>0</v>
      </c>
    </row>
    <row r="36" spans="1:62" ht="12.75">
      <c r="A36" s="5" t="s">
        <v>22</v>
      </c>
      <c r="B36" s="5" t="s">
        <v>59</v>
      </c>
      <c r="C36" s="78" t="s">
        <v>115</v>
      </c>
      <c r="D36" s="79"/>
      <c r="E36" s="79"/>
      <c r="F36" s="5" t="s">
        <v>148</v>
      </c>
      <c r="G36" s="69">
        <v>0.5</v>
      </c>
      <c r="H36" s="15">
        <v>0</v>
      </c>
      <c r="I36" s="15">
        <f>G36*AO36</f>
        <v>0</v>
      </c>
      <c r="J36" s="15">
        <f>G36*AP36</f>
        <v>0</v>
      </c>
      <c r="K36" s="15">
        <f>G36*H36</f>
        <v>0</v>
      </c>
      <c r="L36" s="39">
        <f>IF(K70=0,0,K36/K70)</f>
        <v>0</v>
      </c>
      <c r="M36" s="27" t="s">
        <v>171</v>
      </c>
      <c r="Z36" s="32">
        <f>IF(AQ36="5",BJ36,0)</f>
        <v>0</v>
      </c>
      <c r="AB36" s="32">
        <f>IF(AQ36="1",BH36,0)</f>
        <v>0</v>
      </c>
      <c r="AC36" s="32">
        <f>IF(AQ36="1",BI36,0)</f>
        <v>0</v>
      </c>
      <c r="AD36" s="32">
        <f>IF(AQ36="7",BH36,0)</f>
        <v>0</v>
      </c>
      <c r="AE36" s="32">
        <f>IF(AQ36="7",BI36,0)</f>
        <v>0</v>
      </c>
      <c r="AF36" s="32">
        <f>IF(AQ36="2",BH36,0)</f>
        <v>0</v>
      </c>
      <c r="AG36" s="32">
        <f>IF(AQ36="2",BI36,0)</f>
        <v>0</v>
      </c>
      <c r="AH36" s="32">
        <f>IF(AQ36="0",BJ36,0)</f>
        <v>0</v>
      </c>
      <c r="AI36" s="26" t="s">
        <v>181</v>
      </c>
      <c r="AJ36" s="15">
        <f>IF(AN36=0,K36,0)</f>
        <v>0</v>
      </c>
      <c r="AK36" s="15">
        <f>IF(AN36=15,K36,0)</f>
        <v>0</v>
      </c>
      <c r="AL36" s="15">
        <f>IF(AN36=21,K36,0)</f>
        <v>0</v>
      </c>
      <c r="AN36" s="32">
        <v>21</v>
      </c>
      <c r="AO36" s="32">
        <f>H36*0.524628992628993</f>
        <v>0</v>
      </c>
      <c r="AP36" s="32">
        <f>H36*(1-0.524628992628993)</f>
        <v>0</v>
      </c>
      <c r="AQ36" s="27" t="s">
        <v>7</v>
      </c>
      <c r="AV36" s="32">
        <f>AW36+AX36</f>
        <v>0</v>
      </c>
      <c r="AW36" s="32">
        <f>G36*AO36</f>
        <v>0</v>
      </c>
      <c r="AX36" s="32">
        <f>G36*AP36</f>
        <v>0</v>
      </c>
      <c r="AY36" s="33" t="s">
        <v>188</v>
      </c>
      <c r="AZ36" s="33" t="s">
        <v>201</v>
      </c>
      <c r="BA36" s="26" t="s">
        <v>207</v>
      </c>
      <c r="BC36" s="32">
        <f>AW36+AX36</f>
        <v>0</v>
      </c>
      <c r="BD36" s="32">
        <f>H36/(100-BE36)*100</f>
        <v>0</v>
      </c>
      <c r="BE36" s="32">
        <v>0</v>
      </c>
      <c r="BF36" s="32">
        <f>36</f>
        <v>36</v>
      </c>
      <c r="BH36" s="15">
        <f>G36*AO36</f>
        <v>0</v>
      </c>
      <c r="BI36" s="15">
        <f>G36*AP36</f>
        <v>0</v>
      </c>
      <c r="BJ36" s="15">
        <f>G36*H36</f>
        <v>0</v>
      </c>
    </row>
    <row r="37" spans="1:62" ht="12.75">
      <c r="A37" s="5" t="s">
        <v>23</v>
      </c>
      <c r="B37" s="5" t="s">
        <v>60</v>
      </c>
      <c r="C37" s="78" t="s">
        <v>116</v>
      </c>
      <c r="D37" s="79"/>
      <c r="E37" s="79"/>
      <c r="F37" s="5" t="s">
        <v>150</v>
      </c>
      <c r="G37" s="69">
        <v>1</v>
      </c>
      <c r="H37" s="15">
        <v>0</v>
      </c>
      <c r="I37" s="15">
        <f>G37*AO37</f>
        <v>0</v>
      </c>
      <c r="J37" s="15">
        <f>G37*AP37</f>
        <v>0</v>
      </c>
      <c r="K37" s="15">
        <f>G37*H37</f>
        <v>0</v>
      </c>
      <c r="L37" s="39">
        <f>IF(K70=0,0,K37/K70)</f>
        <v>0</v>
      </c>
      <c r="M37" s="27" t="s">
        <v>171</v>
      </c>
      <c r="Z37" s="32">
        <f>IF(AQ37="5",BJ37,0)</f>
        <v>0</v>
      </c>
      <c r="AB37" s="32">
        <f>IF(AQ37="1",BH37,0)</f>
        <v>0</v>
      </c>
      <c r="AC37" s="32">
        <f>IF(AQ37="1",BI37,0)</f>
        <v>0</v>
      </c>
      <c r="AD37" s="32">
        <f>IF(AQ37="7",BH37,0)</f>
        <v>0</v>
      </c>
      <c r="AE37" s="32">
        <f>IF(AQ37="7",BI37,0)</f>
        <v>0</v>
      </c>
      <c r="AF37" s="32">
        <f>IF(AQ37="2",BH37,0)</f>
        <v>0</v>
      </c>
      <c r="AG37" s="32">
        <f>IF(AQ37="2",BI37,0)</f>
        <v>0</v>
      </c>
      <c r="AH37" s="32">
        <f>IF(AQ37="0",BJ37,0)</f>
        <v>0</v>
      </c>
      <c r="AI37" s="26" t="s">
        <v>181</v>
      </c>
      <c r="AJ37" s="15">
        <f>IF(AN37=0,K37,0)</f>
        <v>0</v>
      </c>
      <c r="AK37" s="15">
        <f>IF(AN37=15,K37,0)</f>
        <v>0</v>
      </c>
      <c r="AL37" s="15">
        <f>IF(AN37=21,K37,0)</f>
        <v>0</v>
      </c>
      <c r="AN37" s="32">
        <v>21</v>
      </c>
      <c r="AO37" s="32">
        <f>H37*0.18735674676525</f>
        <v>0</v>
      </c>
      <c r="AP37" s="32">
        <f>H37*(1-0.18735674676525)</f>
        <v>0</v>
      </c>
      <c r="AQ37" s="27" t="s">
        <v>7</v>
      </c>
      <c r="AV37" s="32">
        <f>AW37+AX37</f>
        <v>0</v>
      </c>
      <c r="AW37" s="32">
        <f>G37*AO37</f>
        <v>0</v>
      </c>
      <c r="AX37" s="32">
        <f>G37*AP37</f>
        <v>0</v>
      </c>
      <c r="AY37" s="33" t="s">
        <v>188</v>
      </c>
      <c r="AZ37" s="33" t="s">
        <v>201</v>
      </c>
      <c r="BA37" s="26" t="s">
        <v>207</v>
      </c>
      <c r="BC37" s="32">
        <f>AW37+AX37</f>
        <v>0</v>
      </c>
      <c r="BD37" s="32">
        <f>H37/(100-BE37)*100</f>
        <v>0</v>
      </c>
      <c r="BE37" s="32">
        <v>0</v>
      </c>
      <c r="BF37" s="32">
        <f>37</f>
        <v>37</v>
      </c>
      <c r="BH37" s="15">
        <f>G37*AO37</f>
        <v>0</v>
      </c>
      <c r="BI37" s="15">
        <f>G37*AP37</f>
        <v>0</v>
      </c>
      <c r="BJ37" s="15">
        <f>G37*H37</f>
        <v>0</v>
      </c>
    </row>
    <row r="38" spans="1:62" ht="12.75">
      <c r="A38" s="5" t="s">
        <v>24</v>
      </c>
      <c r="B38" s="5" t="s">
        <v>60</v>
      </c>
      <c r="C38" s="78" t="s">
        <v>116</v>
      </c>
      <c r="D38" s="79"/>
      <c r="E38" s="79"/>
      <c r="F38" s="5" t="s">
        <v>150</v>
      </c>
      <c r="G38" s="69">
        <v>1</v>
      </c>
      <c r="H38" s="15">
        <v>0</v>
      </c>
      <c r="I38" s="15">
        <f>G38*AO38</f>
        <v>0</v>
      </c>
      <c r="J38" s="15">
        <f>G38*AP38</f>
        <v>0</v>
      </c>
      <c r="K38" s="15">
        <f>G38*H38</f>
        <v>0</v>
      </c>
      <c r="L38" s="39">
        <f>IF(K70=0,0,K38/K70)</f>
        <v>0</v>
      </c>
      <c r="M38" s="27" t="s">
        <v>171</v>
      </c>
      <c r="Z38" s="32">
        <f>IF(AQ38="5",BJ38,0)</f>
        <v>0</v>
      </c>
      <c r="AB38" s="32">
        <f>IF(AQ38="1",BH38,0)</f>
        <v>0</v>
      </c>
      <c r="AC38" s="32">
        <f>IF(AQ38="1",BI38,0)</f>
        <v>0</v>
      </c>
      <c r="AD38" s="32">
        <f>IF(AQ38="7",BH38,0)</f>
        <v>0</v>
      </c>
      <c r="AE38" s="32">
        <f>IF(AQ38="7",BI38,0)</f>
        <v>0</v>
      </c>
      <c r="AF38" s="32">
        <f>IF(AQ38="2",BH38,0)</f>
        <v>0</v>
      </c>
      <c r="AG38" s="32">
        <f>IF(AQ38="2",BI38,0)</f>
        <v>0</v>
      </c>
      <c r="AH38" s="32">
        <f>IF(AQ38="0",BJ38,0)</f>
        <v>0</v>
      </c>
      <c r="AI38" s="26" t="s">
        <v>181</v>
      </c>
      <c r="AJ38" s="15">
        <f>IF(AN38=0,K38,0)</f>
        <v>0</v>
      </c>
      <c r="AK38" s="15">
        <f>IF(AN38=15,K38,0)</f>
        <v>0</v>
      </c>
      <c r="AL38" s="15">
        <f>IF(AN38=21,K38,0)</f>
        <v>0</v>
      </c>
      <c r="AN38" s="32">
        <v>21</v>
      </c>
      <c r="AO38" s="32">
        <f>H38*0.18735674676525</f>
        <v>0</v>
      </c>
      <c r="AP38" s="32">
        <f>H38*(1-0.18735674676525)</f>
        <v>0</v>
      </c>
      <c r="AQ38" s="27" t="s">
        <v>7</v>
      </c>
      <c r="AV38" s="32">
        <f>AW38+AX38</f>
        <v>0</v>
      </c>
      <c r="AW38" s="32">
        <f>G38*AO38</f>
        <v>0</v>
      </c>
      <c r="AX38" s="32">
        <f>G38*AP38</f>
        <v>0</v>
      </c>
      <c r="AY38" s="33" t="s">
        <v>188</v>
      </c>
      <c r="AZ38" s="33" t="s">
        <v>201</v>
      </c>
      <c r="BA38" s="26" t="s">
        <v>207</v>
      </c>
      <c r="BC38" s="32">
        <f>AW38+AX38</f>
        <v>0</v>
      </c>
      <c r="BD38" s="32">
        <f>H38/(100-BE38)*100</f>
        <v>0</v>
      </c>
      <c r="BE38" s="32">
        <v>0</v>
      </c>
      <c r="BF38" s="32">
        <f>38</f>
        <v>38</v>
      </c>
      <c r="BH38" s="15">
        <f>G38*AO38</f>
        <v>0</v>
      </c>
      <c r="BI38" s="15">
        <f>G38*AP38</f>
        <v>0</v>
      </c>
      <c r="BJ38" s="15">
        <f>G38*H38</f>
        <v>0</v>
      </c>
    </row>
    <row r="39" spans="1:62" ht="12.75">
      <c r="A39" s="5" t="s">
        <v>25</v>
      </c>
      <c r="B39" s="5" t="s">
        <v>61</v>
      </c>
      <c r="C39" s="78" t="s">
        <v>273</v>
      </c>
      <c r="D39" s="79"/>
      <c r="E39" s="79"/>
      <c r="F39" s="5"/>
      <c r="G39" s="69">
        <v>1</v>
      </c>
      <c r="H39" s="15">
        <v>0</v>
      </c>
      <c r="I39" s="15">
        <f>G39*AO39</f>
        <v>0</v>
      </c>
      <c r="J39" s="15">
        <f>G39*AP39</f>
        <v>0</v>
      </c>
      <c r="K39" s="15">
        <f>G39*H39</f>
        <v>0</v>
      </c>
      <c r="L39" s="39">
        <f>IF(K70=0,0,K39/K70)</f>
        <v>0</v>
      </c>
      <c r="M39" s="27"/>
      <c r="Z39" s="32">
        <f>IF(AQ39="5",BJ39,0)</f>
        <v>0</v>
      </c>
      <c r="AB39" s="32">
        <f>IF(AQ39="1",BH39,0)</f>
        <v>0</v>
      </c>
      <c r="AC39" s="32">
        <f>IF(AQ39="1",BI39,0)</f>
        <v>0</v>
      </c>
      <c r="AD39" s="32">
        <f>IF(AQ39="7",BH39,0)</f>
        <v>0</v>
      </c>
      <c r="AE39" s="32">
        <f>IF(AQ39="7",BI39,0)</f>
        <v>0</v>
      </c>
      <c r="AF39" s="32">
        <f>IF(AQ39="2",BH39,0)</f>
        <v>0</v>
      </c>
      <c r="AG39" s="32">
        <f>IF(AQ39="2",BI39,0)</f>
        <v>0</v>
      </c>
      <c r="AH39" s="32">
        <f>IF(AQ39="0",BJ39,0)</f>
        <v>0</v>
      </c>
      <c r="AI39" s="26" t="s">
        <v>181</v>
      </c>
      <c r="AJ39" s="15">
        <f>IF(AN39=0,K39,0)</f>
        <v>0</v>
      </c>
      <c r="AK39" s="15">
        <f>IF(AN39=15,K39,0)</f>
        <v>0</v>
      </c>
      <c r="AL39" s="15">
        <f>IF(AN39=21,K39,0)</f>
        <v>0</v>
      </c>
      <c r="AN39" s="32">
        <v>21</v>
      </c>
      <c r="AO39" s="32">
        <f>H39*0.722222222222222</f>
        <v>0</v>
      </c>
      <c r="AP39" s="32">
        <f>H39*(1-0.722222222222222)</f>
        <v>0</v>
      </c>
      <c r="AQ39" s="27" t="s">
        <v>7</v>
      </c>
      <c r="AV39" s="32">
        <f>AW39+AX39</f>
        <v>0</v>
      </c>
      <c r="AW39" s="32">
        <f>G39*AO39</f>
        <v>0</v>
      </c>
      <c r="AX39" s="32">
        <f>G39*AP39</f>
        <v>0</v>
      </c>
      <c r="AY39" s="33" t="s">
        <v>188</v>
      </c>
      <c r="AZ39" s="33" t="s">
        <v>201</v>
      </c>
      <c r="BA39" s="26" t="s">
        <v>207</v>
      </c>
      <c r="BC39" s="32">
        <f>AW39+AX39</f>
        <v>0</v>
      </c>
      <c r="BD39" s="32">
        <f>H39/(100-BE39)*100</f>
        <v>0</v>
      </c>
      <c r="BE39" s="32">
        <v>0</v>
      </c>
      <c r="BF39" s="32">
        <f>39</f>
        <v>39</v>
      </c>
      <c r="BH39" s="15">
        <f>G39*AO39</f>
        <v>0</v>
      </c>
      <c r="BI39" s="15">
        <f>G39*AP39</f>
        <v>0</v>
      </c>
      <c r="BJ39" s="15">
        <f>G39*H39</f>
        <v>0</v>
      </c>
    </row>
    <row r="40" spans="1:47" ht="12.75">
      <c r="A40" s="4"/>
      <c r="B40" s="13" t="s">
        <v>62</v>
      </c>
      <c r="C40" s="80" t="s">
        <v>117</v>
      </c>
      <c r="D40" s="81"/>
      <c r="E40" s="81"/>
      <c r="F40" s="4" t="s">
        <v>6</v>
      </c>
      <c r="G40" s="4" t="s">
        <v>6</v>
      </c>
      <c r="H40" s="4" t="s">
        <v>6</v>
      </c>
      <c r="I40" s="35">
        <f>SUM(I41:I41)</f>
        <v>0</v>
      </c>
      <c r="J40" s="35">
        <f>SUM(J41:J41)</f>
        <v>0</v>
      </c>
      <c r="K40" s="35">
        <f>SUM(K41:K41)</f>
        <v>0</v>
      </c>
      <c r="L40" s="38">
        <f>IF(K70=0,0,K40/K70)</f>
        <v>0</v>
      </c>
      <c r="M40" s="26"/>
      <c r="AI40" s="26" t="s">
        <v>181</v>
      </c>
      <c r="AS40" s="35">
        <f>SUM(AJ41:AJ41)</f>
        <v>0</v>
      </c>
      <c r="AT40" s="35">
        <f>SUM(AK41:AK41)</f>
        <v>0</v>
      </c>
      <c r="AU40" s="35">
        <f>SUM(AL41:AL41)</f>
        <v>0</v>
      </c>
    </row>
    <row r="41" spans="1:62" ht="12.75">
      <c r="A41" s="5" t="s">
        <v>26</v>
      </c>
      <c r="B41" s="5" t="s">
        <v>63</v>
      </c>
      <c r="C41" s="78" t="s">
        <v>118</v>
      </c>
      <c r="D41" s="79"/>
      <c r="E41" s="79"/>
      <c r="F41" s="5" t="s">
        <v>148</v>
      </c>
      <c r="G41" s="69">
        <v>1.4</v>
      </c>
      <c r="H41" s="15">
        <v>0</v>
      </c>
      <c r="I41" s="15">
        <f>G41*AO41</f>
        <v>0</v>
      </c>
      <c r="J41" s="15">
        <f>G41*AP41</f>
        <v>0</v>
      </c>
      <c r="K41" s="15">
        <f>G41*H41</f>
        <v>0</v>
      </c>
      <c r="L41" s="39">
        <f>IF(K70=0,0,K41/K70)</f>
        <v>0</v>
      </c>
      <c r="M41" s="27" t="s">
        <v>171</v>
      </c>
      <c r="Z41" s="32">
        <f>IF(AQ41="5",BJ41,0)</f>
        <v>0</v>
      </c>
      <c r="AB41" s="32">
        <f>IF(AQ41="1",BH41,0)</f>
        <v>0</v>
      </c>
      <c r="AC41" s="32">
        <f>IF(AQ41="1",BI41,0)</f>
        <v>0</v>
      </c>
      <c r="AD41" s="32">
        <f>IF(AQ41="7",BH41,0)</f>
        <v>0</v>
      </c>
      <c r="AE41" s="32">
        <f>IF(AQ41="7",BI41,0)</f>
        <v>0</v>
      </c>
      <c r="AF41" s="32">
        <f>IF(AQ41="2",BH41,0)</f>
        <v>0</v>
      </c>
      <c r="AG41" s="32">
        <f>IF(AQ41="2",BI41,0)</f>
        <v>0</v>
      </c>
      <c r="AH41" s="32">
        <f>IF(AQ41="0",BJ41,0)</f>
        <v>0</v>
      </c>
      <c r="AI41" s="26" t="s">
        <v>181</v>
      </c>
      <c r="AJ41" s="15">
        <f>IF(AN41=0,K41,0)</f>
        <v>0</v>
      </c>
      <c r="AK41" s="15">
        <f>IF(AN41=15,K41,0)</f>
        <v>0</v>
      </c>
      <c r="AL41" s="15">
        <f>IF(AN41=21,K41,0)</f>
        <v>0</v>
      </c>
      <c r="AN41" s="32">
        <v>21</v>
      </c>
      <c r="AO41" s="32">
        <f>H41*0.67768</f>
        <v>0</v>
      </c>
      <c r="AP41" s="32">
        <f>H41*(1-0.67768)</f>
        <v>0</v>
      </c>
      <c r="AQ41" s="27" t="s">
        <v>7</v>
      </c>
      <c r="AV41" s="32">
        <f>AW41+AX41</f>
        <v>0</v>
      </c>
      <c r="AW41" s="32">
        <f>G41*AO41</f>
        <v>0</v>
      </c>
      <c r="AX41" s="32">
        <f>G41*AP41</f>
        <v>0</v>
      </c>
      <c r="AY41" s="33" t="s">
        <v>189</v>
      </c>
      <c r="AZ41" s="33" t="s">
        <v>201</v>
      </c>
      <c r="BA41" s="26" t="s">
        <v>207</v>
      </c>
      <c r="BC41" s="32">
        <f>AW41+AX41</f>
        <v>0</v>
      </c>
      <c r="BD41" s="32">
        <f>H41/(100-BE41)*100</f>
        <v>0</v>
      </c>
      <c r="BE41" s="32">
        <v>0</v>
      </c>
      <c r="BF41" s="32">
        <f>41</f>
        <v>41</v>
      </c>
      <c r="BH41" s="15">
        <f>G41*AO41</f>
        <v>0</v>
      </c>
      <c r="BI41" s="15">
        <f>G41*AP41</f>
        <v>0</v>
      </c>
      <c r="BJ41" s="15">
        <f>G41*H41</f>
        <v>0</v>
      </c>
    </row>
    <row r="42" spans="3:5" ht="12.75">
      <c r="C42" s="84" t="s">
        <v>119</v>
      </c>
      <c r="D42" s="85"/>
      <c r="E42" s="85"/>
    </row>
    <row r="43" spans="1:47" ht="12.75">
      <c r="A43" s="4"/>
      <c r="B43" s="13" t="s">
        <v>64</v>
      </c>
      <c r="C43" s="80" t="s">
        <v>120</v>
      </c>
      <c r="D43" s="81"/>
      <c r="E43" s="81"/>
      <c r="F43" s="4" t="s">
        <v>6</v>
      </c>
      <c r="G43" s="4" t="s">
        <v>6</v>
      </c>
      <c r="H43" s="4" t="s">
        <v>6</v>
      </c>
      <c r="I43" s="35">
        <f>SUM(I44:I45)</f>
        <v>0</v>
      </c>
      <c r="J43" s="35">
        <f>SUM(J44:J45)</f>
        <v>0</v>
      </c>
      <c r="K43" s="35">
        <f>SUM(K44:K45)</f>
        <v>0</v>
      </c>
      <c r="L43" s="38">
        <f>IF(K70=0,0,K43/K70)</f>
        <v>0</v>
      </c>
      <c r="M43" s="26"/>
      <c r="AI43" s="26" t="s">
        <v>181</v>
      </c>
      <c r="AS43" s="35">
        <f>SUM(AJ44:AJ45)</f>
        <v>0</v>
      </c>
      <c r="AT43" s="35">
        <f>SUM(AK44:AK45)</f>
        <v>0</v>
      </c>
      <c r="AU43" s="35">
        <f>SUM(AL44:AL45)</f>
        <v>0</v>
      </c>
    </row>
    <row r="44" spans="1:62" ht="12.75">
      <c r="A44" s="5" t="s">
        <v>27</v>
      </c>
      <c r="B44" s="5" t="s">
        <v>65</v>
      </c>
      <c r="C44" s="78" t="s">
        <v>121</v>
      </c>
      <c r="D44" s="79"/>
      <c r="E44" s="79"/>
      <c r="F44" s="5" t="s">
        <v>151</v>
      </c>
      <c r="G44" s="69">
        <v>9</v>
      </c>
      <c r="H44" s="15">
        <v>0</v>
      </c>
      <c r="I44" s="15">
        <f>G44*AO44</f>
        <v>0</v>
      </c>
      <c r="J44" s="15">
        <f>G44*AP44</f>
        <v>0</v>
      </c>
      <c r="K44" s="15">
        <f>G44*H44</f>
        <v>0</v>
      </c>
      <c r="L44" s="39">
        <f>IF(K70=0,0,K44/K70)</f>
        <v>0</v>
      </c>
      <c r="M44" s="27" t="s">
        <v>171</v>
      </c>
      <c r="Z44" s="32">
        <f>IF(AQ44="5",BJ44,0)</f>
        <v>0</v>
      </c>
      <c r="AB44" s="32">
        <f>IF(AQ44="1",BH44,0)</f>
        <v>0</v>
      </c>
      <c r="AC44" s="32">
        <f>IF(AQ44="1",BI44,0)</f>
        <v>0</v>
      </c>
      <c r="AD44" s="32">
        <f>IF(AQ44="7",BH44,0)</f>
        <v>0</v>
      </c>
      <c r="AE44" s="32">
        <f>IF(AQ44="7",BI44,0)</f>
        <v>0</v>
      </c>
      <c r="AF44" s="32">
        <f>IF(AQ44="2",BH44,0)</f>
        <v>0</v>
      </c>
      <c r="AG44" s="32">
        <f>IF(AQ44="2",BI44,0)</f>
        <v>0</v>
      </c>
      <c r="AH44" s="32">
        <f>IF(AQ44="0",BJ44,0)</f>
        <v>0</v>
      </c>
      <c r="AI44" s="26" t="s">
        <v>181</v>
      </c>
      <c r="AJ44" s="15">
        <f>IF(AN44=0,K44,0)</f>
        <v>0</v>
      </c>
      <c r="AK44" s="15">
        <f>IF(AN44=15,K44,0)</f>
        <v>0</v>
      </c>
      <c r="AL44" s="15">
        <f>IF(AN44=21,K44,0)</f>
        <v>0</v>
      </c>
      <c r="AN44" s="32">
        <v>21</v>
      </c>
      <c r="AO44" s="32">
        <f>H44*0.151885714285714</f>
        <v>0</v>
      </c>
      <c r="AP44" s="32">
        <f>H44*(1-0.151885714285714)</f>
        <v>0</v>
      </c>
      <c r="AQ44" s="27" t="s">
        <v>7</v>
      </c>
      <c r="AV44" s="32">
        <f>AW44+AX44</f>
        <v>0</v>
      </c>
      <c r="AW44" s="32">
        <f>G44*AO44</f>
        <v>0</v>
      </c>
      <c r="AX44" s="32">
        <f>G44*AP44</f>
        <v>0</v>
      </c>
      <c r="AY44" s="33" t="s">
        <v>190</v>
      </c>
      <c r="AZ44" s="33" t="s">
        <v>202</v>
      </c>
      <c r="BA44" s="26" t="s">
        <v>207</v>
      </c>
      <c r="BC44" s="32">
        <f>AW44+AX44</f>
        <v>0</v>
      </c>
      <c r="BD44" s="32">
        <f>H44/(100-BE44)*100</f>
        <v>0</v>
      </c>
      <c r="BE44" s="32">
        <v>0</v>
      </c>
      <c r="BF44" s="32">
        <f>44</f>
        <v>44</v>
      </c>
      <c r="BH44" s="15">
        <f>G44*AO44</f>
        <v>0</v>
      </c>
      <c r="BI44" s="15">
        <f>G44*AP44</f>
        <v>0</v>
      </c>
      <c r="BJ44" s="15">
        <f>G44*H44</f>
        <v>0</v>
      </c>
    </row>
    <row r="45" spans="1:62" ht="12.75">
      <c r="A45" s="6" t="s">
        <v>28</v>
      </c>
      <c r="B45" s="6" t="s">
        <v>66</v>
      </c>
      <c r="C45" s="82" t="s">
        <v>122</v>
      </c>
      <c r="D45" s="83"/>
      <c r="E45" s="83"/>
      <c r="F45" s="6" t="s">
        <v>150</v>
      </c>
      <c r="G45" s="70">
        <v>9</v>
      </c>
      <c r="H45" s="16">
        <v>0</v>
      </c>
      <c r="I45" s="16">
        <f>G45*AO45</f>
        <v>0</v>
      </c>
      <c r="J45" s="16">
        <f>G45*AP45</f>
        <v>0</v>
      </c>
      <c r="K45" s="16">
        <f>G45*H45</f>
        <v>0</v>
      </c>
      <c r="L45" s="40">
        <f>IF(K70=0,0,K45/K70)</f>
        <v>0</v>
      </c>
      <c r="M45" s="28" t="s">
        <v>171</v>
      </c>
      <c r="Z45" s="32">
        <f>IF(AQ45="5",BJ45,0)</f>
        <v>0</v>
      </c>
      <c r="AB45" s="32">
        <f>IF(AQ45="1",BH45,0)</f>
        <v>0</v>
      </c>
      <c r="AC45" s="32">
        <f>IF(AQ45="1",BI45,0)</f>
        <v>0</v>
      </c>
      <c r="AD45" s="32">
        <f>IF(AQ45="7",BH45,0)</f>
        <v>0</v>
      </c>
      <c r="AE45" s="32">
        <f>IF(AQ45="7",BI45,0)</f>
        <v>0</v>
      </c>
      <c r="AF45" s="32">
        <f>IF(AQ45="2",BH45,0)</f>
        <v>0</v>
      </c>
      <c r="AG45" s="32">
        <f>IF(AQ45="2",BI45,0)</f>
        <v>0</v>
      </c>
      <c r="AH45" s="32">
        <f>IF(AQ45="0",BJ45,0)</f>
        <v>0</v>
      </c>
      <c r="AI45" s="26" t="s">
        <v>181</v>
      </c>
      <c r="AJ45" s="16">
        <f>IF(AN45=0,K45,0)</f>
        <v>0</v>
      </c>
      <c r="AK45" s="16">
        <f>IF(AN45=15,K45,0)</f>
        <v>0</v>
      </c>
      <c r="AL45" s="16">
        <f>IF(AN45=21,K45,0)</f>
        <v>0</v>
      </c>
      <c r="AN45" s="32">
        <v>21</v>
      </c>
      <c r="AO45" s="32">
        <f>H45*1</f>
        <v>0</v>
      </c>
      <c r="AP45" s="32">
        <f>H45*(1-1)</f>
        <v>0</v>
      </c>
      <c r="AQ45" s="28" t="s">
        <v>7</v>
      </c>
      <c r="AV45" s="32">
        <f>AW45+AX45</f>
        <v>0</v>
      </c>
      <c r="AW45" s="32">
        <f>G45*AO45</f>
        <v>0</v>
      </c>
      <c r="AX45" s="32">
        <f>G45*AP45</f>
        <v>0</v>
      </c>
      <c r="AY45" s="33" t="s">
        <v>190</v>
      </c>
      <c r="AZ45" s="33" t="s">
        <v>202</v>
      </c>
      <c r="BA45" s="26" t="s">
        <v>207</v>
      </c>
      <c r="BC45" s="32">
        <f>AW45+AX45</f>
        <v>0</v>
      </c>
      <c r="BD45" s="32">
        <f>H45/(100-BE45)*100</f>
        <v>0</v>
      </c>
      <c r="BE45" s="32">
        <v>0</v>
      </c>
      <c r="BF45" s="32">
        <f>45</f>
        <v>45</v>
      </c>
      <c r="BH45" s="16">
        <f>G45*AO45</f>
        <v>0</v>
      </c>
      <c r="BI45" s="16">
        <f>G45*AP45</f>
        <v>0</v>
      </c>
      <c r="BJ45" s="16">
        <f>G45*H45</f>
        <v>0</v>
      </c>
    </row>
    <row r="46" spans="1:47" ht="12.75">
      <c r="A46" s="4"/>
      <c r="B46" s="13" t="s">
        <v>67</v>
      </c>
      <c r="C46" s="80" t="s">
        <v>123</v>
      </c>
      <c r="D46" s="81"/>
      <c r="E46" s="81"/>
      <c r="F46" s="4" t="s">
        <v>6</v>
      </c>
      <c r="G46" s="4" t="s">
        <v>6</v>
      </c>
      <c r="H46" s="4" t="s">
        <v>6</v>
      </c>
      <c r="I46" s="35">
        <f>SUM(I47:I47)</f>
        <v>0</v>
      </c>
      <c r="J46" s="35">
        <f>SUM(J47:J47)</f>
        <v>0</v>
      </c>
      <c r="K46" s="35">
        <f>SUM(K47:K47)</f>
        <v>0</v>
      </c>
      <c r="L46" s="38">
        <f>IF(K70=0,0,K46/K70)</f>
        <v>0</v>
      </c>
      <c r="M46" s="26"/>
      <c r="AI46" s="26" t="s">
        <v>181</v>
      </c>
      <c r="AS46" s="35">
        <f>SUM(AJ47:AJ47)</f>
        <v>0</v>
      </c>
      <c r="AT46" s="35">
        <f>SUM(AK47:AK47)</f>
        <v>0</v>
      </c>
      <c r="AU46" s="35">
        <f>SUM(AL47:AL47)</f>
        <v>0</v>
      </c>
    </row>
    <row r="47" spans="1:62" ht="12.75">
      <c r="A47" s="5" t="s">
        <v>29</v>
      </c>
      <c r="B47" s="5" t="s">
        <v>68</v>
      </c>
      <c r="C47" s="78" t="s">
        <v>124</v>
      </c>
      <c r="D47" s="79"/>
      <c r="E47" s="79"/>
      <c r="F47" s="5" t="s">
        <v>148</v>
      </c>
      <c r="G47" s="69">
        <v>8.4</v>
      </c>
      <c r="H47" s="15">
        <v>0</v>
      </c>
      <c r="I47" s="15">
        <f>G47*AO47</f>
        <v>0</v>
      </c>
      <c r="J47" s="15">
        <f>G47*AP47</f>
        <v>0</v>
      </c>
      <c r="K47" s="15">
        <f>G47*H47</f>
        <v>0</v>
      </c>
      <c r="L47" s="39">
        <f>IF(K70=0,0,K47/K70)</f>
        <v>0</v>
      </c>
      <c r="M47" s="27" t="s">
        <v>171</v>
      </c>
      <c r="Z47" s="32">
        <f>IF(AQ47="5",BJ47,0)</f>
        <v>0</v>
      </c>
      <c r="AB47" s="32">
        <f>IF(AQ47="1",BH47,0)</f>
        <v>0</v>
      </c>
      <c r="AC47" s="32">
        <f>IF(AQ47="1",BI47,0)</f>
        <v>0</v>
      </c>
      <c r="AD47" s="32">
        <f>IF(AQ47="7",BH47,0)</f>
        <v>0</v>
      </c>
      <c r="AE47" s="32">
        <f>IF(AQ47="7",BI47,0)</f>
        <v>0</v>
      </c>
      <c r="AF47" s="32">
        <f>IF(AQ47="2",BH47,0)</f>
        <v>0</v>
      </c>
      <c r="AG47" s="32">
        <f>IF(AQ47="2",BI47,0)</f>
        <v>0</v>
      </c>
      <c r="AH47" s="32">
        <f>IF(AQ47="0",BJ47,0)</f>
        <v>0</v>
      </c>
      <c r="AI47" s="26" t="s">
        <v>181</v>
      </c>
      <c r="AJ47" s="15">
        <f>IF(AN47=0,K47,0)</f>
        <v>0</v>
      </c>
      <c r="AK47" s="15">
        <f>IF(AN47=15,K47,0)</f>
        <v>0</v>
      </c>
      <c r="AL47" s="15">
        <f>IF(AN47=21,K47,0)</f>
        <v>0</v>
      </c>
      <c r="AN47" s="32">
        <v>21</v>
      </c>
      <c r="AO47" s="32">
        <f>H47*0.549622566076849</f>
        <v>0</v>
      </c>
      <c r="AP47" s="32">
        <f>H47*(1-0.549622566076849)</f>
        <v>0</v>
      </c>
      <c r="AQ47" s="27" t="s">
        <v>7</v>
      </c>
      <c r="AV47" s="32">
        <f>AW47+AX47</f>
        <v>0</v>
      </c>
      <c r="AW47" s="32">
        <f>G47*AO47</f>
        <v>0</v>
      </c>
      <c r="AX47" s="32">
        <f>G47*AP47</f>
        <v>0</v>
      </c>
      <c r="AY47" s="33" t="s">
        <v>191</v>
      </c>
      <c r="AZ47" s="33" t="s">
        <v>202</v>
      </c>
      <c r="BA47" s="26" t="s">
        <v>207</v>
      </c>
      <c r="BC47" s="32">
        <f>AW47+AX47</f>
        <v>0</v>
      </c>
      <c r="BD47" s="32">
        <f>H47/(100-BE47)*100</f>
        <v>0</v>
      </c>
      <c r="BE47" s="32">
        <v>0</v>
      </c>
      <c r="BF47" s="32">
        <f>47</f>
        <v>47</v>
      </c>
      <c r="BH47" s="15">
        <f>G47*AO47</f>
        <v>0</v>
      </c>
      <c r="BI47" s="15">
        <f>G47*AP47</f>
        <v>0</v>
      </c>
      <c r="BJ47" s="15">
        <f>G47*H47</f>
        <v>0</v>
      </c>
    </row>
    <row r="48" spans="1:47" ht="12.75">
      <c r="A48" s="4"/>
      <c r="B48" s="13" t="s">
        <v>69</v>
      </c>
      <c r="C48" s="80" t="s">
        <v>125</v>
      </c>
      <c r="D48" s="81"/>
      <c r="E48" s="81"/>
      <c r="F48" s="4" t="s">
        <v>6</v>
      </c>
      <c r="G48" s="4" t="s">
        <v>6</v>
      </c>
      <c r="H48" s="4" t="s">
        <v>6</v>
      </c>
      <c r="I48" s="35">
        <f>SUM(I49:I51)</f>
        <v>0</v>
      </c>
      <c r="J48" s="35">
        <f>SUM(J49:J51)</f>
        <v>0</v>
      </c>
      <c r="K48" s="35">
        <f>SUM(K49:K51)</f>
        <v>0</v>
      </c>
      <c r="L48" s="38">
        <f>IF(K70=0,0,K48/K70)</f>
        <v>0</v>
      </c>
      <c r="M48" s="26"/>
      <c r="AI48" s="26" t="s">
        <v>181</v>
      </c>
      <c r="AS48" s="35">
        <f>SUM(AJ49:AJ51)</f>
        <v>0</v>
      </c>
      <c r="AT48" s="35">
        <f>SUM(AK49:AK51)</f>
        <v>0</v>
      </c>
      <c r="AU48" s="35">
        <f>SUM(AL49:AL51)</f>
        <v>0</v>
      </c>
    </row>
    <row r="49" spans="1:62" ht="12.75">
      <c r="A49" s="5" t="s">
        <v>30</v>
      </c>
      <c r="B49" s="5" t="s">
        <v>70</v>
      </c>
      <c r="C49" s="78" t="s">
        <v>126</v>
      </c>
      <c r="D49" s="79"/>
      <c r="E49" s="79"/>
      <c r="F49" s="5" t="s">
        <v>149</v>
      </c>
      <c r="G49" s="69">
        <v>10</v>
      </c>
      <c r="H49" s="15">
        <v>0</v>
      </c>
      <c r="I49" s="15">
        <f>G49*AO49</f>
        <v>0</v>
      </c>
      <c r="J49" s="15">
        <f>G49*AP49</f>
        <v>0</v>
      </c>
      <c r="K49" s="15">
        <f>G49*H49</f>
        <v>0</v>
      </c>
      <c r="L49" s="39">
        <f>IF(K70=0,0,K49/K70)</f>
        <v>0</v>
      </c>
      <c r="M49" s="27" t="s">
        <v>171</v>
      </c>
      <c r="Z49" s="32">
        <f>IF(AQ49="5",BJ49,0)</f>
        <v>0</v>
      </c>
      <c r="AB49" s="32">
        <f>IF(AQ49="1",BH49,0)</f>
        <v>0</v>
      </c>
      <c r="AC49" s="32">
        <f>IF(AQ49="1",BI49,0)</f>
        <v>0</v>
      </c>
      <c r="AD49" s="32">
        <f>IF(AQ49="7",BH49,0)</f>
        <v>0</v>
      </c>
      <c r="AE49" s="32">
        <f>IF(AQ49="7",BI49,0)</f>
        <v>0</v>
      </c>
      <c r="AF49" s="32">
        <f>IF(AQ49="2",BH49,0)</f>
        <v>0</v>
      </c>
      <c r="AG49" s="32">
        <f>IF(AQ49="2",BI49,0)</f>
        <v>0</v>
      </c>
      <c r="AH49" s="32">
        <f>IF(AQ49="0",BJ49,0)</f>
        <v>0</v>
      </c>
      <c r="AI49" s="26" t="s">
        <v>181</v>
      </c>
      <c r="AJ49" s="15">
        <f>IF(AN49=0,K49,0)</f>
        <v>0</v>
      </c>
      <c r="AK49" s="15">
        <f>IF(AN49=15,K49,0)</f>
        <v>0</v>
      </c>
      <c r="AL49" s="15">
        <f>IF(AN49=21,K49,0)</f>
        <v>0</v>
      </c>
      <c r="AN49" s="32">
        <v>21</v>
      </c>
      <c r="AO49" s="32">
        <f>H49*0.892105263157895</f>
        <v>0</v>
      </c>
      <c r="AP49" s="32">
        <f>H49*(1-0.892105263157895)</f>
        <v>0</v>
      </c>
      <c r="AQ49" s="27" t="s">
        <v>7</v>
      </c>
      <c r="AV49" s="32">
        <f>AW49+AX49</f>
        <v>0</v>
      </c>
      <c r="AW49" s="32">
        <f>G49*AO49</f>
        <v>0</v>
      </c>
      <c r="AX49" s="32">
        <f>G49*AP49</f>
        <v>0</v>
      </c>
      <c r="AY49" s="33" t="s">
        <v>192</v>
      </c>
      <c r="AZ49" s="33" t="s">
        <v>203</v>
      </c>
      <c r="BA49" s="26" t="s">
        <v>207</v>
      </c>
      <c r="BC49" s="32">
        <f>AW49+AX49</f>
        <v>0</v>
      </c>
      <c r="BD49" s="32">
        <f>H49/(100-BE49)*100</f>
        <v>0</v>
      </c>
      <c r="BE49" s="32">
        <v>0</v>
      </c>
      <c r="BF49" s="32">
        <f>49</f>
        <v>49</v>
      </c>
      <c r="BH49" s="15">
        <f>G49*AO49</f>
        <v>0</v>
      </c>
      <c r="BI49" s="15">
        <f>G49*AP49</f>
        <v>0</v>
      </c>
      <c r="BJ49" s="15">
        <f>G49*H49</f>
        <v>0</v>
      </c>
    </row>
    <row r="50" spans="1:62" ht="12.75">
      <c r="A50" s="5" t="s">
        <v>31</v>
      </c>
      <c r="B50" s="5" t="s">
        <v>71</v>
      </c>
      <c r="C50" s="78" t="s">
        <v>127</v>
      </c>
      <c r="D50" s="79"/>
      <c r="E50" s="79"/>
      <c r="F50" s="5" t="s">
        <v>149</v>
      </c>
      <c r="G50" s="69">
        <v>42</v>
      </c>
      <c r="H50" s="15">
        <v>0</v>
      </c>
      <c r="I50" s="15">
        <f>G50*AO50</f>
        <v>0</v>
      </c>
      <c r="J50" s="15">
        <f>G50*AP50</f>
        <v>0</v>
      </c>
      <c r="K50" s="15">
        <f>G50*H50</f>
        <v>0</v>
      </c>
      <c r="L50" s="39">
        <f>IF(K70=0,0,K50/K70)</f>
        <v>0</v>
      </c>
      <c r="M50" s="27" t="s">
        <v>171</v>
      </c>
      <c r="Z50" s="32">
        <f>IF(AQ50="5",BJ50,0)</f>
        <v>0</v>
      </c>
      <c r="AB50" s="32">
        <f>IF(AQ50="1",BH50,0)</f>
        <v>0</v>
      </c>
      <c r="AC50" s="32">
        <f>IF(AQ50="1",BI50,0)</f>
        <v>0</v>
      </c>
      <c r="AD50" s="32">
        <f>IF(AQ50="7",BH50,0)</f>
        <v>0</v>
      </c>
      <c r="AE50" s="32">
        <f>IF(AQ50="7",BI50,0)</f>
        <v>0</v>
      </c>
      <c r="AF50" s="32">
        <f>IF(AQ50="2",BH50,0)</f>
        <v>0</v>
      </c>
      <c r="AG50" s="32">
        <f>IF(AQ50="2",BI50,0)</f>
        <v>0</v>
      </c>
      <c r="AH50" s="32">
        <f>IF(AQ50="0",BJ50,0)</f>
        <v>0</v>
      </c>
      <c r="AI50" s="26" t="s">
        <v>181</v>
      </c>
      <c r="AJ50" s="15">
        <f>IF(AN50=0,K50,0)</f>
        <v>0</v>
      </c>
      <c r="AK50" s="15">
        <f>IF(AN50=15,K50,0)</f>
        <v>0</v>
      </c>
      <c r="AL50" s="15">
        <f>IF(AN50=21,K50,0)</f>
        <v>0</v>
      </c>
      <c r="AN50" s="32">
        <v>21</v>
      </c>
      <c r="AO50" s="32">
        <f>H50*0.710388692579505</f>
        <v>0</v>
      </c>
      <c r="AP50" s="32">
        <f>H50*(1-0.710388692579505)</f>
        <v>0</v>
      </c>
      <c r="AQ50" s="27" t="s">
        <v>7</v>
      </c>
      <c r="AV50" s="32">
        <f>AW50+AX50</f>
        <v>0</v>
      </c>
      <c r="AW50" s="32">
        <f>G50*AO50</f>
        <v>0</v>
      </c>
      <c r="AX50" s="32">
        <f>G50*AP50</f>
        <v>0</v>
      </c>
      <c r="AY50" s="33" t="s">
        <v>192</v>
      </c>
      <c r="AZ50" s="33" t="s">
        <v>203</v>
      </c>
      <c r="BA50" s="26" t="s">
        <v>207</v>
      </c>
      <c r="BC50" s="32">
        <f>AW50+AX50</f>
        <v>0</v>
      </c>
      <c r="BD50" s="32">
        <f>H50/(100-BE50)*100</f>
        <v>0</v>
      </c>
      <c r="BE50" s="32">
        <v>0</v>
      </c>
      <c r="BF50" s="32">
        <f>50</f>
        <v>50</v>
      </c>
      <c r="BH50" s="15">
        <f>G50*AO50</f>
        <v>0</v>
      </c>
      <c r="BI50" s="15">
        <f>G50*AP50</f>
        <v>0</v>
      </c>
      <c r="BJ50" s="15">
        <f>G50*H50</f>
        <v>0</v>
      </c>
    </row>
    <row r="51" spans="1:62" ht="12.75">
      <c r="A51" s="5" t="s">
        <v>32</v>
      </c>
      <c r="B51" s="5" t="s">
        <v>72</v>
      </c>
      <c r="C51" s="78" t="s">
        <v>128</v>
      </c>
      <c r="D51" s="79"/>
      <c r="E51" s="79"/>
      <c r="F51" s="5" t="s">
        <v>149</v>
      </c>
      <c r="G51" s="69">
        <v>20</v>
      </c>
      <c r="H51" s="15">
        <v>0</v>
      </c>
      <c r="I51" s="15">
        <f>G51*AO51</f>
        <v>0</v>
      </c>
      <c r="J51" s="15">
        <f>G51*AP51</f>
        <v>0</v>
      </c>
      <c r="K51" s="15">
        <f>G51*H51</f>
        <v>0</v>
      </c>
      <c r="L51" s="39">
        <f>IF(K70=0,0,K51/K70)</f>
        <v>0</v>
      </c>
      <c r="M51" s="27" t="s">
        <v>171</v>
      </c>
      <c r="Z51" s="32">
        <f>IF(AQ51="5",BJ51,0)</f>
        <v>0</v>
      </c>
      <c r="AB51" s="32">
        <f>IF(AQ51="1",BH51,0)</f>
        <v>0</v>
      </c>
      <c r="AC51" s="32">
        <f>IF(AQ51="1",BI51,0)</f>
        <v>0</v>
      </c>
      <c r="AD51" s="32">
        <f>IF(AQ51="7",BH51,0)</f>
        <v>0</v>
      </c>
      <c r="AE51" s="32">
        <f>IF(AQ51="7",BI51,0)</f>
        <v>0</v>
      </c>
      <c r="AF51" s="32">
        <f>IF(AQ51="2",BH51,0)</f>
        <v>0</v>
      </c>
      <c r="AG51" s="32">
        <f>IF(AQ51="2",BI51,0)</f>
        <v>0</v>
      </c>
      <c r="AH51" s="32">
        <f>IF(AQ51="0",BJ51,0)</f>
        <v>0</v>
      </c>
      <c r="AI51" s="26" t="s">
        <v>181</v>
      </c>
      <c r="AJ51" s="15">
        <f>IF(AN51=0,K51,0)</f>
        <v>0</v>
      </c>
      <c r="AK51" s="15">
        <f>IF(AN51=15,K51,0)</f>
        <v>0</v>
      </c>
      <c r="AL51" s="15">
        <f>IF(AN51=21,K51,0)</f>
        <v>0</v>
      </c>
      <c r="AN51" s="32">
        <v>21</v>
      </c>
      <c r="AO51" s="32">
        <f>H51*0.871142857142857</f>
        <v>0</v>
      </c>
      <c r="AP51" s="32">
        <f>H51*(1-0.871142857142857)</f>
        <v>0</v>
      </c>
      <c r="AQ51" s="27" t="s">
        <v>7</v>
      </c>
      <c r="AV51" s="32">
        <f>AW51+AX51</f>
        <v>0</v>
      </c>
      <c r="AW51" s="32">
        <f>G51*AO51</f>
        <v>0</v>
      </c>
      <c r="AX51" s="32">
        <f>G51*AP51</f>
        <v>0</v>
      </c>
      <c r="AY51" s="33" t="s">
        <v>192</v>
      </c>
      <c r="AZ51" s="33" t="s">
        <v>203</v>
      </c>
      <c r="BA51" s="26" t="s">
        <v>207</v>
      </c>
      <c r="BC51" s="32">
        <f>AW51+AX51</f>
        <v>0</v>
      </c>
      <c r="BD51" s="32">
        <f>H51/(100-BE51)*100</f>
        <v>0</v>
      </c>
      <c r="BE51" s="32">
        <v>0</v>
      </c>
      <c r="BF51" s="32">
        <f>51</f>
        <v>51</v>
      </c>
      <c r="BH51" s="15">
        <f>G51*AO51</f>
        <v>0</v>
      </c>
      <c r="BI51" s="15">
        <f>G51*AP51</f>
        <v>0</v>
      </c>
      <c r="BJ51" s="15">
        <f>G51*H51</f>
        <v>0</v>
      </c>
    </row>
    <row r="52" spans="1:47" ht="12.75">
      <c r="A52" s="4"/>
      <c r="B52" s="13" t="s">
        <v>73</v>
      </c>
      <c r="C52" s="80" t="s">
        <v>129</v>
      </c>
      <c r="D52" s="81"/>
      <c r="E52" s="81"/>
      <c r="F52" s="4" t="s">
        <v>6</v>
      </c>
      <c r="G52" s="4" t="s">
        <v>6</v>
      </c>
      <c r="H52" s="4" t="s">
        <v>6</v>
      </c>
      <c r="I52" s="35">
        <f>SUM(I53:I53)</f>
        <v>0</v>
      </c>
      <c r="J52" s="35">
        <f>SUM(J53:J53)</f>
        <v>0</v>
      </c>
      <c r="K52" s="35">
        <f>SUM(K53:K53)</f>
        <v>0</v>
      </c>
      <c r="L52" s="38">
        <f>IF(K70=0,0,K52/K70)</f>
        <v>0</v>
      </c>
      <c r="M52" s="26"/>
      <c r="AI52" s="26" t="s">
        <v>181</v>
      </c>
      <c r="AS52" s="35">
        <f>SUM(AJ53:AJ53)</f>
        <v>0</v>
      </c>
      <c r="AT52" s="35">
        <f>SUM(AK53:AK53)</f>
        <v>0</v>
      </c>
      <c r="AU52" s="35">
        <f>SUM(AL53:AL53)</f>
        <v>0</v>
      </c>
    </row>
    <row r="53" spans="1:62" ht="12.75">
      <c r="A53" s="5" t="s">
        <v>33</v>
      </c>
      <c r="B53" s="5" t="s">
        <v>74</v>
      </c>
      <c r="C53" s="78" t="s">
        <v>130</v>
      </c>
      <c r="D53" s="79"/>
      <c r="E53" s="79"/>
      <c r="F53" s="5" t="s">
        <v>149</v>
      </c>
      <c r="G53" s="69">
        <v>200</v>
      </c>
      <c r="H53" s="15">
        <v>0</v>
      </c>
      <c r="I53" s="15">
        <f>G53*AO53</f>
        <v>0</v>
      </c>
      <c r="J53" s="15">
        <f>G53*AP53</f>
        <v>0</v>
      </c>
      <c r="K53" s="15">
        <f>G53*H53</f>
        <v>0</v>
      </c>
      <c r="L53" s="39">
        <f>IF(K70=0,0,K53/K70)</f>
        <v>0</v>
      </c>
      <c r="M53" s="27" t="s">
        <v>171</v>
      </c>
      <c r="Z53" s="32">
        <f>IF(AQ53="5",BJ53,0)</f>
        <v>0</v>
      </c>
      <c r="AB53" s="32">
        <f>IF(AQ53="1",BH53,0)</f>
        <v>0</v>
      </c>
      <c r="AC53" s="32">
        <f>IF(AQ53="1",BI53,0)</f>
        <v>0</v>
      </c>
      <c r="AD53" s="32">
        <f>IF(AQ53="7",BH53,0)</f>
        <v>0</v>
      </c>
      <c r="AE53" s="32">
        <f>IF(AQ53="7",BI53,0)</f>
        <v>0</v>
      </c>
      <c r="AF53" s="32">
        <f>IF(AQ53="2",BH53,0)</f>
        <v>0</v>
      </c>
      <c r="AG53" s="32">
        <f>IF(AQ53="2",BI53,0)</f>
        <v>0</v>
      </c>
      <c r="AH53" s="32">
        <f>IF(AQ53="0",BJ53,0)</f>
        <v>0</v>
      </c>
      <c r="AI53" s="26" t="s">
        <v>181</v>
      </c>
      <c r="AJ53" s="15">
        <f>IF(AN53=0,K53,0)</f>
        <v>0</v>
      </c>
      <c r="AK53" s="15">
        <f>IF(AN53=15,K53,0)</f>
        <v>0</v>
      </c>
      <c r="AL53" s="15">
        <f>IF(AN53=21,K53,0)</f>
        <v>0</v>
      </c>
      <c r="AN53" s="32">
        <v>21</v>
      </c>
      <c r="AO53" s="32">
        <f>H53*0.161803542673108</f>
        <v>0</v>
      </c>
      <c r="AP53" s="32">
        <f>H53*(1-0.161803542673108)</f>
        <v>0</v>
      </c>
      <c r="AQ53" s="27" t="s">
        <v>7</v>
      </c>
      <c r="AV53" s="32">
        <f>AW53+AX53</f>
        <v>0</v>
      </c>
      <c r="AW53" s="32">
        <f>G53*AO53</f>
        <v>0</v>
      </c>
      <c r="AX53" s="32">
        <f>G53*AP53</f>
        <v>0</v>
      </c>
      <c r="AY53" s="33" t="s">
        <v>193</v>
      </c>
      <c r="AZ53" s="33" t="s">
        <v>204</v>
      </c>
      <c r="BA53" s="26" t="s">
        <v>207</v>
      </c>
      <c r="BC53" s="32">
        <f>AW53+AX53</f>
        <v>0</v>
      </c>
      <c r="BD53" s="32">
        <f>H53/(100-BE53)*100</f>
        <v>0</v>
      </c>
      <c r="BE53" s="32">
        <v>0</v>
      </c>
      <c r="BF53" s="32">
        <f>53</f>
        <v>53</v>
      </c>
      <c r="BH53" s="15">
        <f>G53*AO53</f>
        <v>0</v>
      </c>
      <c r="BI53" s="15">
        <f>G53*AP53</f>
        <v>0</v>
      </c>
      <c r="BJ53" s="15">
        <f>G53*H53</f>
        <v>0</v>
      </c>
    </row>
    <row r="54" spans="3:5" ht="12.75">
      <c r="C54" s="84" t="s">
        <v>266</v>
      </c>
      <c r="D54" s="85"/>
      <c r="E54" s="85"/>
    </row>
    <row r="55" spans="1:47" ht="12.75">
      <c r="A55" s="4"/>
      <c r="B55" s="13" t="s">
        <v>75</v>
      </c>
      <c r="C55" s="80" t="s">
        <v>131</v>
      </c>
      <c r="D55" s="81"/>
      <c r="E55" s="81"/>
      <c r="F55" s="4" t="s">
        <v>6</v>
      </c>
      <c r="G55" s="4" t="s">
        <v>6</v>
      </c>
      <c r="H55" s="4" t="s">
        <v>6</v>
      </c>
      <c r="I55" s="35">
        <f>SUM(I56:I58)</f>
        <v>0</v>
      </c>
      <c r="J55" s="35">
        <f>SUM(J56:J58)</f>
        <v>0</v>
      </c>
      <c r="K55" s="35">
        <f>SUM(K56:K58)</f>
        <v>0</v>
      </c>
      <c r="L55" s="38">
        <f>IF(K70=0,0,K55/K70)</f>
        <v>0</v>
      </c>
      <c r="M55" s="26"/>
      <c r="AI55" s="26" t="s">
        <v>181</v>
      </c>
      <c r="AS55" s="35">
        <f>SUM(AJ56:AJ58)</f>
        <v>0</v>
      </c>
      <c r="AT55" s="35">
        <f>SUM(AK56:AK58)</f>
        <v>0</v>
      </c>
      <c r="AU55" s="35">
        <f>SUM(AL56:AL58)</f>
        <v>0</v>
      </c>
    </row>
    <row r="56" spans="1:62" ht="12.75">
      <c r="A56" s="5" t="s">
        <v>34</v>
      </c>
      <c r="B56" s="5" t="s">
        <v>76</v>
      </c>
      <c r="C56" s="78" t="s">
        <v>267</v>
      </c>
      <c r="D56" s="79"/>
      <c r="E56" s="79"/>
      <c r="F56" s="5" t="s">
        <v>148</v>
      </c>
      <c r="G56" s="69">
        <v>0.2</v>
      </c>
      <c r="H56" s="15">
        <v>0</v>
      </c>
      <c r="I56" s="15">
        <f>G56*AO56</f>
        <v>0</v>
      </c>
      <c r="J56" s="15">
        <f>G56*AP56</f>
        <v>0</v>
      </c>
      <c r="K56" s="15">
        <f>G56*H56</f>
        <v>0</v>
      </c>
      <c r="L56" s="39">
        <f>IF(K70=0,0,K56/K70)</f>
        <v>0</v>
      </c>
      <c r="M56" s="27" t="s">
        <v>171</v>
      </c>
      <c r="Z56" s="32">
        <f>IF(AQ56="5",BJ56,0)</f>
        <v>0</v>
      </c>
      <c r="AB56" s="32">
        <f>IF(AQ56="1",BH56,0)</f>
        <v>0</v>
      </c>
      <c r="AC56" s="32">
        <f>IF(AQ56="1",BI56,0)</f>
        <v>0</v>
      </c>
      <c r="AD56" s="32">
        <f>IF(AQ56="7",BH56,0)</f>
        <v>0</v>
      </c>
      <c r="AE56" s="32">
        <f>IF(AQ56="7",BI56,0)</f>
        <v>0</v>
      </c>
      <c r="AF56" s="32">
        <f>IF(AQ56="2",BH56,0)</f>
        <v>0</v>
      </c>
      <c r="AG56" s="32">
        <f>IF(AQ56="2",BI56,0)</f>
        <v>0</v>
      </c>
      <c r="AH56" s="32">
        <f>IF(AQ56="0",BJ56,0)</f>
        <v>0</v>
      </c>
      <c r="AI56" s="26" t="s">
        <v>181</v>
      </c>
      <c r="AJ56" s="15">
        <f>IF(AN56=0,K56,0)</f>
        <v>0</v>
      </c>
      <c r="AK56" s="15">
        <f>IF(AN56=15,K56,0)</f>
        <v>0</v>
      </c>
      <c r="AL56" s="15">
        <f>IF(AN56=21,K56,0)</f>
        <v>0</v>
      </c>
      <c r="AN56" s="32">
        <v>21</v>
      </c>
      <c r="AO56" s="32">
        <f>H56*0.667946932006633</f>
        <v>0</v>
      </c>
      <c r="AP56" s="32">
        <f>H56*(1-0.667946932006633)</f>
        <v>0</v>
      </c>
      <c r="AQ56" s="27" t="s">
        <v>7</v>
      </c>
      <c r="AV56" s="32">
        <f>AW56+AX56</f>
        <v>0</v>
      </c>
      <c r="AW56" s="32">
        <f>G56*AO56</f>
        <v>0</v>
      </c>
      <c r="AX56" s="32">
        <f>G56*AP56</f>
        <v>0</v>
      </c>
      <c r="AY56" s="33" t="s">
        <v>194</v>
      </c>
      <c r="AZ56" s="33" t="s">
        <v>204</v>
      </c>
      <c r="BA56" s="26" t="s">
        <v>207</v>
      </c>
      <c r="BC56" s="32">
        <f>AW56+AX56</f>
        <v>0</v>
      </c>
      <c r="BD56" s="32">
        <f>H56/(100-BE56)*100</f>
        <v>0</v>
      </c>
      <c r="BE56" s="32">
        <v>0</v>
      </c>
      <c r="BF56" s="32">
        <f>56</f>
        <v>56</v>
      </c>
      <c r="BH56" s="15">
        <f>G56*AO56</f>
        <v>0</v>
      </c>
      <c r="BI56" s="15">
        <f>G56*AP56</f>
        <v>0</v>
      </c>
      <c r="BJ56" s="15">
        <f>G56*H56</f>
        <v>0</v>
      </c>
    </row>
    <row r="57" spans="1:62" ht="12.75">
      <c r="A57" s="5" t="s">
        <v>35</v>
      </c>
      <c r="B57" s="5" t="s">
        <v>77</v>
      </c>
      <c r="C57" s="78" t="s">
        <v>132</v>
      </c>
      <c r="D57" s="79"/>
      <c r="E57" s="79"/>
      <c r="F57" s="5" t="s">
        <v>149</v>
      </c>
      <c r="G57" s="69">
        <v>7.4</v>
      </c>
      <c r="H57" s="15">
        <v>0</v>
      </c>
      <c r="I57" s="15">
        <f>G57*AO57</f>
        <v>0</v>
      </c>
      <c r="J57" s="15">
        <f>G57*AP57</f>
        <v>0</v>
      </c>
      <c r="K57" s="15">
        <f>G57*H57</f>
        <v>0</v>
      </c>
      <c r="L57" s="39">
        <f>IF(K70=0,0,K57/K70)</f>
        <v>0</v>
      </c>
      <c r="M57" s="27" t="s">
        <v>171</v>
      </c>
      <c r="Z57" s="32">
        <f>IF(AQ57="5",BJ57,0)</f>
        <v>0</v>
      </c>
      <c r="AB57" s="32">
        <f>IF(AQ57="1",BH57,0)</f>
        <v>0</v>
      </c>
      <c r="AC57" s="32">
        <f>IF(AQ57="1",BI57,0)</f>
        <v>0</v>
      </c>
      <c r="AD57" s="32">
        <f>IF(AQ57="7",BH57,0)</f>
        <v>0</v>
      </c>
      <c r="AE57" s="32">
        <f>IF(AQ57="7",BI57,0)</f>
        <v>0</v>
      </c>
      <c r="AF57" s="32">
        <f>IF(AQ57="2",BH57,0)</f>
        <v>0</v>
      </c>
      <c r="AG57" s="32">
        <f>IF(AQ57="2",BI57,0)</f>
        <v>0</v>
      </c>
      <c r="AH57" s="32">
        <f>IF(AQ57="0",BJ57,0)</f>
        <v>0</v>
      </c>
      <c r="AI57" s="26" t="s">
        <v>181</v>
      </c>
      <c r="AJ57" s="15">
        <f>IF(AN57=0,K57,0)</f>
        <v>0</v>
      </c>
      <c r="AK57" s="15">
        <f>IF(AN57=15,K57,0)</f>
        <v>0</v>
      </c>
      <c r="AL57" s="15">
        <f>IF(AN57=21,K57,0)</f>
        <v>0</v>
      </c>
      <c r="AN57" s="32">
        <v>21</v>
      </c>
      <c r="AO57" s="32">
        <f>H57*0.362323943661972</f>
        <v>0</v>
      </c>
      <c r="AP57" s="32">
        <f>H57*(1-0.362323943661972)</f>
        <v>0</v>
      </c>
      <c r="AQ57" s="27" t="s">
        <v>7</v>
      </c>
      <c r="AV57" s="32">
        <f>AW57+AX57</f>
        <v>0</v>
      </c>
      <c r="AW57" s="32">
        <f>G57*AO57</f>
        <v>0</v>
      </c>
      <c r="AX57" s="32">
        <f>G57*AP57</f>
        <v>0</v>
      </c>
      <c r="AY57" s="33" t="s">
        <v>194</v>
      </c>
      <c r="AZ57" s="33" t="s">
        <v>204</v>
      </c>
      <c r="BA57" s="26" t="s">
        <v>207</v>
      </c>
      <c r="BC57" s="32">
        <f>AW57+AX57</f>
        <v>0</v>
      </c>
      <c r="BD57" s="32">
        <f>H57/(100-BE57)*100</f>
        <v>0</v>
      </c>
      <c r="BE57" s="32">
        <v>0</v>
      </c>
      <c r="BF57" s="32">
        <f>57</f>
        <v>57</v>
      </c>
      <c r="BH57" s="15">
        <f>G57*AO57</f>
        <v>0</v>
      </c>
      <c r="BI57" s="15">
        <f>G57*AP57</f>
        <v>0</v>
      </c>
      <c r="BJ57" s="15">
        <f>G57*H57</f>
        <v>0</v>
      </c>
    </row>
    <row r="58" spans="1:62" ht="12.75">
      <c r="A58" s="6" t="s">
        <v>36</v>
      </c>
      <c r="B58" s="6" t="s">
        <v>78</v>
      </c>
      <c r="C58" s="82" t="s">
        <v>133</v>
      </c>
      <c r="D58" s="83"/>
      <c r="E58" s="83"/>
      <c r="F58" s="6" t="s">
        <v>148</v>
      </c>
      <c r="G58" s="70">
        <v>1.4</v>
      </c>
      <c r="H58" s="16">
        <v>0</v>
      </c>
      <c r="I58" s="16">
        <f>G58*AO58</f>
        <v>0</v>
      </c>
      <c r="J58" s="16">
        <f>G58*AP58</f>
        <v>0</v>
      </c>
      <c r="K58" s="16">
        <f>G58*H58</f>
        <v>0</v>
      </c>
      <c r="L58" s="40">
        <f>IF(K70=0,0,K58/K70)</f>
        <v>0</v>
      </c>
      <c r="M58" s="28" t="s">
        <v>171</v>
      </c>
      <c r="Z58" s="32">
        <f>IF(AQ58="5",BJ58,0)</f>
        <v>0</v>
      </c>
      <c r="AB58" s="32">
        <f>IF(AQ58="1",BH58,0)</f>
        <v>0</v>
      </c>
      <c r="AC58" s="32">
        <f>IF(AQ58="1",BI58,0)</f>
        <v>0</v>
      </c>
      <c r="AD58" s="32">
        <f>IF(AQ58="7",BH58,0)</f>
        <v>0</v>
      </c>
      <c r="AE58" s="32">
        <f>IF(AQ58="7",BI58,0)</f>
        <v>0</v>
      </c>
      <c r="AF58" s="32">
        <f>IF(AQ58="2",BH58,0)</f>
        <v>0</v>
      </c>
      <c r="AG58" s="32">
        <f>IF(AQ58="2",BI58,0)</f>
        <v>0</v>
      </c>
      <c r="AH58" s="32">
        <f>IF(AQ58="0",BJ58,0)</f>
        <v>0</v>
      </c>
      <c r="AI58" s="26" t="s">
        <v>181</v>
      </c>
      <c r="AJ58" s="16">
        <f>IF(AN58=0,K58,0)</f>
        <v>0</v>
      </c>
      <c r="AK58" s="16">
        <f>IF(AN58=15,K58,0)</f>
        <v>0</v>
      </c>
      <c r="AL58" s="16">
        <f>IF(AN58=21,K58,0)</f>
        <v>0</v>
      </c>
      <c r="AN58" s="32">
        <v>21</v>
      </c>
      <c r="AO58" s="32">
        <f>H58*1</f>
        <v>0</v>
      </c>
      <c r="AP58" s="32">
        <f>H58*(1-1)</f>
        <v>0</v>
      </c>
      <c r="AQ58" s="28" t="s">
        <v>7</v>
      </c>
      <c r="AV58" s="32">
        <f>AW58+AX58</f>
        <v>0</v>
      </c>
      <c r="AW58" s="32">
        <f>G58*AO58</f>
        <v>0</v>
      </c>
      <c r="AX58" s="32">
        <f>G58*AP58</f>
        <v>0</v>
      </c>
      <c r="AY58" s="33" t="s">
        <v>194</v>
      </c>
      <c r="AZ58" s="33" t="s">
        <v>204</v>
      </c>
      <c r="BA58" s="26" t="s">
        <v>207</v>
      </c>
      <c r="BC58" s="32">
        <f>AW58+AX58</f>
        <v>0</v>
      </c>
      <c r="BD58" s="32">
        <f>H58/(100-BE58)*100</f>
        <v>0</v>
      </c>
      <c r="BE58" s="32">
        <v>0</v>
      </c>
      <c r="BF58" s="32">
        <f>58</f>
        <v>58</v>
      </c>
      <c r="BH58" s="16">
        <f>G58*AO58</f>
        <v>0</v>
      </c>
      <c r="BI58" s="16">
        <f>G58*AP58</f>
        <v>0</v>
      </c>
      <c r="BJ58" s="16">
        <f>G58*H58</f>
        <v>0</v>
      </c>
    </row>
    <row r="59" spans="1:47" ht="12.75">
      <c r="A59" s="4"/>
      <c r="B59" s="13" t="s">
        <v>79</v>
      </c>
      <c r="C59" s="80" t="s">
        <v>134</v>
      </c>
      <c r="D59" s="81"/>
      <c r="E59" s="81"/>
      <c r="F59" s="4" t="s">
        <v>6</v>
      </c>
      <c r="G59" s="4" t="s">
        <v>6</v>
      </c>
      <c r="H59" s="4" t="s">
        <v>6</v>
      </c>
      <c r="I59" s="35">
        <f>SUM(I60:I61)</f>
        <v>0</v>
      </c>
      <c r="J59" s="35">
        <f>SUM(J60:J61)</f>
        <v>0</v>
      </c>
      <c r="K59" s="35">
        <f>SUM(K60:K61)</f>
        <v>0</v>
      </c>
      <c r="L59" s="38">
        <f>IF(K70=0,0,K59/K70)</f>
        <v>0</v>
      </c>
      <c r="M59" s="26"/>
      <c r="AI59" s="26" t="s">
        <v>181</v>
      </c>
      <c r="AS59" s="35">
        <f>SUM(AJ60:AJ61)</f>
        <v>0</v>
      </c>
      <c r="AT59" s="35">
        <f>SUM(AK60:AK61)</f>
        <v>0</v>
      </c>
      <c r="AU59" s="35">
        <f>SUM(AL60:AL61)</f>
        <v>0</v>
      </c>
    </row>
    <row r="60" spans="1:62" ht="12.75">
      <c r="A60" s="5" t="s">
        <v>37</v>
      </c>
      <c r="B60" s="5" t="s">
        <v>80</v>
      </c>
      <c r="C60" s="78" t="s">
        <v>272</v>
      </c>
      <c r="D60" s="79"/>
      <c r="E60" s="79"/>
      <c r="F60" s="5" t="s">
        <v>151</v>
      </c>
      <c r="G60" s="69">
        <v>6.8</v>
      </c>
      <c r="H60" s="15">
        <v>0</v>
      </c>
      <c r="I60" s="15">
        <f>G60*AO60</f>
        <v>0</v>
      </c>
      <c r="J60" s="15">
        <f>G60*AP60</f>
        <v>0</v>
      </c>
      <c r="K60" s="15">
        <f>G60*H60</f>
        <v>0</v>
      </c>
      <c r="L60" s="39">
        <f>IF(K70=0,0,K60/K70)</f>
        <v>0</v>
      </c>
      <c r="M60" s="27" t="s">
        <v>171</v>
      </c>
      <c r="Z60" s="32">
        <f>IF(AQ60="5",BJ60,0)</f>
        <v>0</v>
      </c>
      <c r="AB60" s="32">
        <f>IF(AQ60="1",BH60,0)</f>
        <v>0</v>
      </c>
      <c r="AC60" s="32">
        <f>IF(AQ60="1",BI60,0)</f>
        <v>0</v>
      </c>
      <c r="AD60" s="32">
        <f>IF(AQ60="7",BH60,0)</f>
        <v>0</v>
      </c>
      <c r="AE60" s="32">
        <f>IF(AQ60="7",BI60,0)</f>
        <v>0</v>
      </c>
      <c r="AF60" s="32">
        <f>IF(AQ60="2",BH60,0)</f>
        <v>0</v>
      </c>
      <c r="AG60" s="32">
        <f>IF(AQ60="2",BI60,0)</f>
        <v>0</v>
      </c>
      <c r="AH60" s="32">
        <f>IF(AQ60="0",BJ60,0)</f>
        <v>0</v>
      </c>
      <c r="AI60" s="26" t="s">
        <v>181</v>
      </c>
      <c r="AJ60" s="15">
        <f>IF(AN60=0,K60,0)</f>
        <v>0</v>
      </c>
      <c r="AK60" s="15">
        <f>IF(AN60=15,K60,0)</f>
        <v>0</v>
      </c>
      <c r="AL60" s="15">
        <f>IF(AN60=21,K60,0)</f>
        <v>0</v>
      </c>
      <c r="AN60" s="32">
        <v>21</v>
      </c>
      <c r="AO60" s="32">
        <f>H60*0.0497846153846154</f>
        <v>0</v>
      </c>
      <c r="AP60" s="32">
        <f>H60*(1-0.0497846153846154)</f>
        <v>0</v>
      </c>
      <c r="AQ60" s="27" t="s">
        <v>13</v>
      </c>
      <c r="AV60" s="32">
        <f>AW60+AX60</f>
        <v>0</v>
      </c>
      <c r="AW60" s="32">
        <f>G60*AO60</f>
        <v>0</v>
      </c>
      <c r="AX60" s="32">
        <f>G60*AP60</f>
        <v>0</v>
      </c>
      <c r="AY60" s="33" t="s">
        <v>195</v>
      </c>
      <c r="AZ60" s="33" t="s">
        <v>205</v>
      </c>
      <c r="BA60" s="26" t="s">
        <v>207</v>
      </c>
      <c r="BC60" s="32">
        <f>AW60+AX60</f>
        <v>0</v>
      </c>
      <c r="BD60" s="32">
        <f>H60/(100-BE60)*100</f>
        <v>0</v>
      </c>
      <c r="BE60" s="32">
        <v>0</v>
      </c>
      <c r="BF60" s="32">
        <f>60</f>
        <v>60</v>
      </c>
      <c r="BH60" s="15">
        <f>G60*AO60</f>
        <v>0</v>
      </c>
      <c r="BI60" s="15">
        <f>G60*AP60</f>
        <v>0</v>
      </c>
      <c r="BJ60" s="15">
        <f>G60*H60</f>
        <v>0</v>
      </c>
    </row>
    <row r="61" spans="1:62" ht="12.75">
      <c r="A61" s="5" t="s">
        <v>38</v>
      </c>
      <c r="B61" s="5" t="s">
        <v>81</v>
      </c>
      <c r="C61" s="78" t="s">
        <v>271</v>
      </c>
      <c r="D61" s="79"/>
      <c r="E61" s="79"/>
      <c r="F61" s="5" t="s">
        <v>152</v>
      </c>
      <c r="G61" s="69">
        <v>1</v>
      </c>
      <c r="H61" s="15">
        <v>0</v>
      </c>
      <c r="I61" s="15">
        <f>G61*AO61</f>
        <v>0</v>
      </c>
      <c r="J61" s="15">
        <f>G61*AP61</f>
        <v>0</v>
      </c>
      <c r="K61" s="15">
        <f>G61*H61</f>
        <v>0</v>
      </c>
      <c r="L61" s="39">
        <f>IF(K70=0,0,K61/K70)</f>
        <v>0</v>
      </c>
      <c r="M61" s="27" t="s">
        <v>171</v>
      </c>
      <c r="Z61" s="32">
        <f>IF(AQ61="5",BJ61,0)</f>
        <v>0</v>
      </c>
      <c r="AB61" s="32">
        <f>IF(AQ61="1",BH61,0)</f>
        <v>0</v>
      </c>
      <c r="AC61" s="32">
        <f>IF(AQ61="1",BI61,0)</f>
        <v>0</v>
      </c>
      <c r="AD61" s="32">
        <f>IF(AQ61="7",BH61,0)</f>
        <v>0</v>
      </c>
      <c r="AE61" s="32">
        <f>IF(AQ61="7",BI61,0)</f>
        <v>0</v>
      </c>
      <c r="AF61" s="32">
        <f>IF(AQ61="2",BH61,0)</f>
        <v>0</v>
      </c>
      <c r="AG61" s="32">
        <f>IF(AQ61="2",BI61,0)</f>
        <v>0</v>
      </c>
      <c r="AH61" s="32">
        <f>IF(AQ61="0",BJ61,0)</f>
        <v>0</v>
      </c>
      <c r="AI61" s="26" t="s">
        <v>181</v>
      </c>
      <c r="AJ61" s="15">
        <f>IF(AN61=0,K61,0)</f>
        <v>0</v>
      </c>
      <c r="AK61" s="15">
        <f>IF(AN61=15,K61,0)</f>
        <v>0</v>
      </c>
      <c r="AL61" s="15">
        <f>IF(AN61=21,K61,0)</f>
        <v>0</v>
      </c>
      <c r="AN61" s="32">
        <v>21</v>
      </c>
      <c r="AO61" s="32">
        <f>H61*0.901898597626753</f>
        <v>0</v>
      </c>
      <c r="AP61" s="32">
        <f>H61*(1-0.901898597626753)</f>
        <v>0</v>
      </c>
      <c r="AQ61" s="27" t="s">
        <v>13</v>
      </c>
      <c r="AV61" s="32">
        <f>AW61+AX61</f>
        <v>0</v>
      </c>
      <c r="AW61" s="32">
        <f>G61*AO61</f>
        <v>0</v>
      </c>
      <c r="AX61" s="32">
        <f>G61*AP61</f>
        <v>0</v>
      </c>
      <c r="AY61" s="33" t="s">
        <v>195</v>
      </c>
      <c r="AZ61" s="33" t="s">
        <v>205</v>
      </c>
      <c r="BA61" s="26" t="s">
        <v>207</v>
      </c>
      <c r="BC61" s="32">
        <f>AW61+AX61</f>
        <v>0</v>
      </c>
      <c r="BD61" s="32">
        <f>H61/(100-BE61)*100</f>
        <v>0</v>
      </c>
      <c r="BE61" s="32">
        <v>0</v>
      </c>
      <c r="BF61" s="32">
        <f>61</f>
        <v>61</v>
      </c>
      <c r="BH61" s="15">
        <f>G61*AO61</f>
        <v>0</v>
      </c>
      <c r="BI61" s="15">
        <f>G61*AP61</f>
        <v>0</v>
      </c>
      <c r="BJ61" s="15">
        <f>G61*H61</f>
        <v>0</v>
      </c>
    </row>
    <row r="62" spans="1:47" ht="12.75">
      <c r="A62" s="4"/>
      <c r="B62" s="13" t="s">
        <v>82</v>
      </c>
      <c r="C62" s="80" t="s">
        <v>135</v>
      </c>
      <c r="D62" s="81"/>
      <c r="E62" s="81"/>
      <c r="F62" s="4" t="s">
        <v>6</v>
      </c>
      <c r="G62" s="4" t="s">
        <v>6</v>
      </c>
      <c r="H62" s="4" t="s">
        <v>6</v>
      </c>
      <c r="I62" s="35">
        <f>SUM(I63:I63)</f>
        <v>0</v>
      </c>
      <c r="J62" s="35">
        <f>SUM(J63:J63)</f>
        <v>0</v>
      </c>
      <c r="K62" s="35">
        <f>SUM(K63:K63)</f>
        <v>0</v>
      </c>
      <c r="L62" s="38">
        <f>IF(K70=0,0,K62/K70)</f>
        <v>0</v>
      </c>
      <c r="M62" s="26"/>
      <c r="AI62" s="26" t="s">
        <v>181</v>
      </c>
      <c r="AS62" s="35">
        <f>SUM(AJ63:AJ63)</f>
        <v>0</v>
      </c>
      <c r="AT62" s="35">
        <f>SUM(AK63:AK63)</f>
        <v>0</v>
      </c>
      <c r="AU62" s="35">
        <f>SUM(AL63:AL63)</f>
        <v>0</v>
      </c>
    </row>
    <row r="63" spans="1:62" ht="12.75">
      <c r="A63" s="5" t="s">
        <v>39</v>
      </c>
      <c r="B63" s="5" t="s">
        <v>83</v>
      </c>
      <c r="C63" s="78" t="s">
        <v>136</v>
      </c>
      <c r="D63" s="79"/>
      <c r="E63" s="79"/>
      <c r="F63" s="5" t="s">
        <v>148</v>
      </c>
      <c r="G63" s="69">
        <v>1.5</v>
      </c>
      <c r="H63" s="15">
        <v>0</v>
      </c>
      <c r="I63" s="15">
        <f>G63*AO63</f>
        <v>0</v>
      </c>
      <c r="J63" s="15">
        <f>G63*AP63</f>
        <v>0</v>
      </c>
      <c r="K63" s="15">
        <f>G63*H63</f>
        <v>0</v>
      </c>
      <c r="L63" s="39">
        <f>IF(K70=0,0,K63/K70)</f>
        <v>0</v>
      </c>
      <c r="M63" s="27" t="s">
        <v>171</v>
      </c>
      <c r="Z63" s="32">
        <f>IF(AQ63="5",BJ63,0)</f>
        <v>0</v>
      </c>
      <c r="AB63" s="32">
        <f>IF(AQ63="1",BH63,0)</f>
        <v>0</v>
      </c>
      <c r="AC63" s="32">
        <f>IF(AQ63="1",BI63,0)</f>
        <v>0</v>
      </c>
      <c r="AD63" s="32">
        <f>IF(AQ63="7",BH63,0)</f>
        <v>0</v>
      </c>
      <c r="AE63" s="32">
        <f>IF(AQ63="7",BI63,0)</f>
        <v>0</v>
      </c>
      <c r="AF63" s="32">
        <f>IF(AQ63="2",BH63,0)</f>
        <v>0</v>
      </c>
      <c r="AG63" s="32">
        <f>IF(AQ63="2",BI63,0)</f>
        <v>0</v>
      </c>
      <c r="AH63" s="32">
        <f>IF(AQ63="0",BJ63,0)</f>
        <v>0</v>
      </c>
      <c r="AI63" s="26" t="s">
        <v>181</v>
      </c>
      <c r="AJ63" s="15">
        <f>IF(AN63=0,K63,0)</f>
        <v>0</v>
      </c>
      <c r="AK63" s="15">
        <f>IF(AN63=15,K63,0)</f>
        <v>0</v>
      </c>
      <c r="AL63" s="15">
        <f>IF(AN63=21,K63,0)</f>
        <v>0</v>
      </c>
      <c r="AN63" s="32">
        <v>21</v>
      </c>
      <c r="AO63" s="32">
        <f>H63*0</f>
        <v>0</v>
      </c>
      <c r="AP63" s="32">
        <f>H63*(1-0)</f>
        <v>0</v>
      </c>
      <c r="AQ63" s="27" t="s">
        <v>7</v>
      </c>
      <c r="AV63" s="32">
        <f>AW63+AX63</f>
        <v>0</v>
      </c>
      <c r="AW63" s="32">
        <f>G63*AO63</f>
        <v>0</v>
      </c>
      <c r="AX63" s="32">
        <f>G63*AP63</f>
        <v>0</v>
      </c>
      <c r="AY63" s="33" t="s">
        <v>196</v>
      </c>
      <c r="AZ63" s="33" t="s">
        <v>206</v>
      </c>
      <c r="BA63" s="26" t="s">
        <v>207</v>
      </c>
      <c r="BC63" s="32">
        <f>AW63+AX63</f>
        <v>0</v>
      </c>
      <c r="BD63" s="32">
        <f>H63/(100-BE63)*100</f>
        <v>0</v>
      </c>
      <c r="BE63" s="32">
        <v>0</v>
      </c>
      <c r="BF63" s="32">
        <f>63</f>
        <v>63</v>
      </c>
      <c r="BH63" s="15">
        <f>G63*AO63</f>
        <v>0</v>
      </c>
      <c r="BI63" s="15">
        <f>G63*AP63</f>
        <v>0</v>
      </c>
      <c r="BJ63" s="15">
        <f>G63*H63</f>
        <v>0</v>
      </c>
    </row>
    <row r="64" spans="1:47" ht="12.75">
      <c r="A64" s="4"/>
      <c r="B64" s="13" t="s">
        <v>84</v>
      </c>
      <c r="C64" s="80" t="s">
        <v>137</v>
      </c>
      <c r="D64" s="81"/>
      <c r="E64" s="81"/>
      <c r="F64" s="4" t="s">
        <v>6</v>
      </c>
      <c r="G64" s="4" t="s">
        <v>6</v>
      </c>
      <c r="H64" s="4" t="s">
        <v>6</v>
      </c>
      <c r="I64" s="35">
        <f>SUM(I65:I65)</f>
        <v>0</v>
      </c>
      <c r="J64" s="35">
        <f>SUM(J65:J65)</f>
        <v>0</v>
      </c>
      <c r="K64" s="35">
        <f>SUM(K65:K65)</f>
        <v>0</v>
      </c>
      <c r="L64" s="38">
        <f>IF(K70=0,0,K64/K70)</f>
        <v>0</v>
      </c>
      <c r="M64" s="26"/>
      <c r="AI64" s="26" t="s">
        <v>181</v>
      </c>
      <c r="AS64" s="35">
        <f>SUM(AJ65:AJ65)</f>
        <v>0</v>
      </c>
      <c r="AT64" s="35">
        <f>SUM(AK65:AK65)</f>
        <v>0</v>
      </c>
      <c r="AU64" s="35">
        <f>SUM(AL65:AL65)</f>
        <v>0</v>
      </c>
    </row>
    <row r="65" spans="1:62" ht="12.75">
      <c r="A65" s="5" t="s">
        <v>40</v>
      </c>
      <c r="B65" s="5" t="s">
        <v>85</v>
      </c>
      <c r="C65" s="78" t="s">
        <v>138</v>
      </c>
      <c r="D65" s="79"/>
      <c r="E65" s="79"/>
      <c r="F65" s="5" t="s">
        <v>153</v>
      </c>
      <c r="G65" s="69">
        <v>86.4</v>
      </c>
      <c r="H65" s="15">
        <v>0</v>
      </c>
      <c r="I65" s="15">
        <f>G65*AO65</f>
        <v>0</v>
      </c>
      <c r="J65" s="15">
        <f>G65*AP65</f>
        <v>0</v>
      </c>
      <c r="K65" s="15">
        <f>G65*H65</f>
        <v>0</v>
      </c>
      <c r="L65" s="39">
        <f>IF(K70=0,0,K65/K70)</f>
        <v>0</v>
      </c>
      <c r="M65" s="27" t="s">
        <v>171</v>
      </c>
      <c r="Z65" s="32">
        <f>IF(AQ65="5",BJ65,0)</f>
        <v>0</v>
      </c>
      <c r="AB65" s="32">
        <f>IF(AQ65="1",BH65,0)</f>
        <v>0</v>
      </c>
      <c r="AC65" s="32">
        <f>IF(AQ65="1",BI65,0)</f>
        <v>0</v>
      </c>
      <c r="AD65" s="32">
        <f>IF(AQ65="7",BH65,0)</f>
        <v>0</v>
      </c>
      <c r="AE65" s="32">
        <f>IF(AQ65="7",BI65,0)</f>
        <v>0</v>
      </c>
      <c r="AF65" s="32">
        <f>IF(AQ65="2",BH65,0)</f>
        <v>0</v>
      </c>
      <c r="AG65" s="32">
        <f>IF(AQ65="2",BI65,0)</f>
        <v>0</v>
      </c>
      <c r="AH65" s="32">
        <f>IF(AQ65="0",BJ65,0)</f>
        <v>0</v>
      </c>
      <c r="AI65" s="26" t="s">
        <v>181</v>
      </c>
      <c r="AJ65" s="15">
        <f>IF(AN65=0,K65,0)</f>
        <v>0</v>
      </c>
      <c r="AK65" s="15">
        <f>IF(AN65=15,K65,0)</f>
        <v>0</v>
      </c>
      <c r="AL65" s="15">
        <f>IF(AN65=21,K65,0)</f>
        <v>0</v>
      </c>
      <c r="AN65" s="32">
        <v>21</v>
      </c>
      <c r="AO65" s="32">
        <f>H65*0</f>
        <v>0</v>
      </c>
      <c r="AP65" s="32">
        <f>H65*(1-0)</f>
        <v>0</v>
      </c>
      <c r="AQ65" s="27" t="s">
        <v>11</v>
      </c>
      <c r="AV65" s="32">
        <f>AW65+AX65</f>
        <v>0</v>
      </c>
      <c r="AW65" s="32">
        <f>G65*AO65</f>
        <v>0</v>
      </c>
      <c r="AX65" s="32">
        <f>G65*AP65</f>
        <v>0</v>
      </c>
      <c r="AY65" s="33" t="s">
        <v>197</v>
      </c>
      <c r="AZ65" s="33" t="s">
        <v>206</v>
      </c>
      <c r="BA65" s="26" t="s">
        <v>207</v>
      </c>
      <c r="BC65" s="32">
        <f>AW65+AX65</f>
        <v>0</v>
      </c>
      <c r="BD65" s="32">
        <f>H65/(100-BE65)*100</f>
        <v>0</v>
      </c>
      <c r="BE65" s="32">
        <v>0</v>
      </c>
      <c r="BF65" s="32">
        <f>65</f>
        <v>65</v>
      </c>
      <c r="BH65" s="15">
        <f>G65*AO65</f>
        <v>0</v>
      </c>
      <c r="BI65" s="15">
        <f>G65*AP65</f>
        <v>0</v>
      </c>
      <c r="BJ65" s="15">
        <f>G65*H65</f>
        <v>0</v>
      </c>
    </row>
    <row r="66" spans="1:47" ht="12.75">
      <c r="A66" s="4"/>
      <c r="B66" s="13" t="s">
        <v>86</v>
      </c>
      <c r="C66" s="80" t="s">
        <v>139</v>
      </c>
      <c r="D66" s="81"/>
      <c r="E66" s="81"/>
      <c r="F66" s="4" t="s">
        <v>6</v>
      </c>
      <c r="G66" s="4" t="s">
        <v>6</v>
      </c>
      <c r="H66" s="4" t="s">
        <v>6</v>
      </c>
      <c r="I66" s="35">
        <f>SUM(I67:I69)</f>
        <v>0</v>
      </c>
      <c r="J66" s="35">
        <f>SUM(J67:J69)</f>
        <v>0</v>
      </c>
      <c r="K66" s="35">
        <f>SUM(K67:K69)</f>
        <v>0</v>
      </c>
      <c r="L66" s="38">
        <f>IF(K70=0,0,K66/K70)</f>
        <v>0</v>
      </c>
      <c r="M66" s="26"/>
      <c r="AI66" s="26" t="s">
        <v>181</v>
      </c>
      <c r="AS66" s="35">
        <f>SUM(AJ67:AJ69)</f>
        <v>0</v>
      </c>
      <c r="AT66" s="35">
        <f>SUM(AK67:AK69)</f>
        <v>0</v>
      </c>
      <c r="AU66" s="35">
        <f>SUM(AL67:AL69)</f>
        <v>0</v>
      </c>
    </row>
    <row r="67" spans="1:62" ht="12.75">
      <c r="A67" s="5" t="s">
        <v>41</v>
      </c>
      <c r="B67" s="5" t="s">
        <v>87</v>
      </c>
      <c r="C67" s="78" t="s">
        <v>140</v>
      </c>
      <c r="D67" s="79"/>
      <c r="E67" s="79"/>
      <c r="F67" s="5" t="s">
        <v>153</v>
      </c>
      <c r="G67" s="69">
        <v>4.3</v>
      </c>
      <c r="H67" s="15">
        <v>0</v>
      </c>
      <c r="I67" s="15">
        <f>G67*AO67</f>
        <v>0</v>
      </c>
      <c r="J67" s="15">
        <f>G67*AP67</f>
        <v>0</v>
      </c>
      <c r="K67" s="15">
        <f>G67*H67</f>
        <v>0</v>
      </c>
      <c r="L67" s="39">
        <f>IF(K70=0,0,K67/K70)</f>
        <v>0</v>
      </c>
      <c r="M67" s="27" t="s">
        <v>171</v>
      </c>
      <c r="Z67" s="32">
        <f>IF(AQ67="5",BJ67,0)</f>
        <v>0</v>
      </c>
      <c r="AB67" s="32">
        <f>IF(AQ67="1",BH67,0)</f>
        <v>0</v>
      </c>
      <c r="AC67" s="32">
        <f>IF(AQ67="1",BI67,0)</f>
        <v>0</v>
      </c>
      <c r="AD67" s="32">
        <f>IF(AQ67="7",BH67,0)</f>
        <v>0</v>
      </c>
      <c r="AE67" s="32">
        <f>IF(AQ67="7",BI67,0)</f>
        <v>0</v>
      </c>
      <c r="AF67" s="32">
        <f>IF(AQ67="2",BH67,0)</f>
        <v>0</v>
      </c>
      <c r="AG67" s="32">
        <f>IF(AQ67="2",BI67,0)</f>
        <v>0</v>
      </c>
      <c r="AH67" s="32">
        <f>IF(AQ67="0",BJ67,0)</f>
        <v>0</v>
      </c>
      <c r="AI67" s="26" t="s">
        <v>181</v>
      </c>
      <c r="AJ67" s="15">
        <f>IF(AN67=0,K67,0)</f>
        <v>0</v>
      </c>
      <c r="AK67" s="15">
        <f>IF(AN67=15,K67,0)</f>
        <v>0</v>
      </c>
      <c r="AL67" s="15">
        <f>IF(AN67=21,K67,0)</f>
        <v>0</v>
      </c>
      <c r="AN67" s="32">
        <v>21</v>
      </c>
      <c r="AO67" s="32">
        <f>H67*0</f>
        <v>0</v>
      </c>
      <c r="AP67" s="32">
        <f>H67*(1-0)</f>
        <v>0</v>
      </c>
      <c r="AQ67" s="27" t="s">
        <v>11</v>
      </c>
      <c r="AV67" s="32">
        <f>AW67+AX67</f>
        <v>0</v>
      </c>
      <c r="AW67" s="32">
        <f>G67*AO67</f>
        <v>0</v>
      </c>
      <c r="AX67" s="32">
        <f>G67*AP67</f>
        <v>0</v>
      </c>
      <c r="AY67" s="33" t="s">
        <v>198</v>
      </c>
      <c r="AZ67" s="33" t="s">
        <v>206</v>
      </c>
      <c r="BA67" s="26" t="s">
        <v>207</v>
      </c>
      <c r="BC67" s="32">
        <f>AW67+AX67</f>
        <v>0</v>
      </c>
      <c r="BD67" s="32">
        <f>H67/(100-BE67)*100</f>
        <v>0</v>
      </c>
      <c r="BE67" s="32">
        <v>0</v>
      </c>
      <c r="BF67" s="32">
        <f>67</f>
        <v>67</v>
      </c>
      <c r="BH67" s="15">
        <f>G67*AO67</f>
        <v>0</v>
      </c>
      <c r="BI67" s="15">
        <f>G67*AP67</f>
        <v>0</v>
      </c>
      <c r="BJ67" s="15">
        <f>G67*H67</f>
        <v>0</v>
      </c>
    </row>
    <row r="68" spans="1:62" ht="12.75">
      <c r="A68" s="5" t="s">
        <v>42</v>
      </c>
      <c r="B68" s="5" t="s">
        <v>88</v>
      </c>
      <c r="C68" s="78" t="s">
        <v>141</v>
      </c>
      <c r="D68" s="79"/>
      <c r="E68" s="79"/>
      <c r="F68" s="5" t="s">
        <v>153</v>
      </c>
      <c r="G68" s="69">
        <v>4.3</v>
      </c>
      <c r="H68" s="15">
        <v>0</v>
      </c>
      <c r="I68" s="15">
        <f>G68*AO68</f>
        <v>0</v>
      </c>
      <c r="J68" s="15">
        <f>G68*AP68</f>
        <v>0</v>
      </c>
      <c r="K68" s="15">
        <f>G68*H68</f>
        <v>0</v>
      </c>
      <c r="L68" s="39">
        <f>IF(K70=0,0,K68/K70)</f>
        <v>0</v>
      </c>
      <c r="M68" s="27" t="s">
        <v>171</v>
      </c>
      <c r="Z68" s="32">
        <f>IF(AQ68="5",BJ68,0)</f>
        <v>0</v>
      </c>
      <c r="AB68" s="32">
        <f>IF(AQ68="1",BH68,0)</f>
        <v>0</v>
      </c>
      <c r="AC68" s="32">
        <f>IF(AQ68="1",BI68,0)</f>
        <v>0</v>
      </c>
      <c r="AD68" s="32">
        <f>IF(AQ68="7",BH68,0)</f>
        <v>0</v>
      </c>
      <c r="AE68" s="32">
        <f>IF(AQ68="7",BI68,0)</f>
        <v>0</v>
      </c>
      <c r="AF68" s="32">
        <f>IF(AQ68="2",BH68,0)</f>
        <v>0</v>
      </c>
      <c r="AG68" s="32">
        <f>IF(AQ68="2",BI68,0)</f>
        <v>0</v>
      </c>
      <c r="AH68" s="32">
        <f>IF(AQ68="0",BJ68,0)</f>
        <v>0</v>
      </c>
      <c r="AI68" s="26" t="s">
        <v>181</v>
      </c>
      <c r="AJ68" s="15">
        <f>IF(AN68=0,K68,0)</f>
        <v>0</v>
      </c>
      <c r="AK68" s="15">
        <f>IF(AN68=15,K68,0)</f>
        <v>0</v>
      </c>
      <c r="AL68" s="15">
        <f>IF(AN68=21,K68,0)</f>
        <v>0</v>
      </c>
      <c r="AN68" s="32">
        <v>21</v>
      </c>
      <c r="AO68" s="32">
        <f>H68*0</f>
        <v>0</v>
      </c>
      <c r="AP68" s="32">
        <f>H68*(1-0)</f>
        <v>0</v>
      </c>
      <c r="AQ68" s="27" t="s">
        <v>11</v>
      </c>
      <c r="AV68" s="32">
        <f>AW68+AX68</f>
        <v>0</v>
      </c>
      <c r="AW68" s="32">
        <f>G68*AO68</f>
        <v>0</v>
      </c>
      <c r="AX68" s="32">
        <f>G68*AP68</f>
        <v>0</v>
      </c>
      <c r="AY68" s="33" t="s">
        <v>198</v>
      </c>
      <c r="AZ68" s="33" t="s">
        <v>206</v>
      </c>
      <c r="BA68" s="26" t="s">
        <v>207</v>
      </c>
      <c r="BC68" s="32">
        <f>AW68+AX68</f>
        <v>0</v>
      </c>
      <c r="BD68" s="32">
        <f>H68/(100-BE68)*100</f>
        <v>0</v>
      </c>
      <c r="BE68" s="32">
        <v>0</v>
      </c>
      <c r="BF68" s="32">
        <f>68</f>
        <v>68</v>
      </c>
      <c r="BH68" s="15">
        <f>G68*AO68</f>
        <v>0</v>
      </c>
      <c r="BI68" s="15">
        <f>G68*AP68</f>
        <v>0</v>
      </c>
      <c r="BJ68" s="15">
        <f>G68*H68</f>
        <v>0</v>
      </c>
    </row>
    <row r="69" spans="1:62" ht="12.75">
      <c r="A69" s="7" t="s">
        <v>43</v>
      </c>
      <c r="B69" s="7" t="s">
        <v>89</v>
      </c>
      <c r="C69" s="72" t="s">
        <v>142</v>
      </c>
      <c r="D69" s="73"/>
      <c r="E69" s="73"/>
      <c r="F69" s="7" t="s">
        <v>153</v>
      </c>
      <c r="G69" s="71">
        <v>4.3</v>
      </c>
      <c r="H69" s="17">
        <v>0</v>
      </c>
      <c r="I69" s="17">
        <f>G69*AO69</f>
        <v>0</v>
      </c>
      <c r="J69" s="17">
        <f>G69*AP69</f>
        <v>0</v>
      </c>
      <c r="K69" s="17">
        <f>G69*H69</f>
        <v>0</v>
      </c>
      <c r="L69" s="41">
        <f>IF(K70=0,0,K69/K70)</f>
        <v>0</v>
      </c>
      <c r="M69" s="29" t="s">
        <v>171</v>
      </c>
      <c r="Z69" s="32">
        <f>IF(AQ69="5",BJ69,0)</f>
        <v>0</v>
      </c>
      <c r="AB69" s="32">
        <f>IF(AQ69="1",BH69,0)</f>
        <v>0</v>
      </c>
      <c r="AC69" s="32">
        <f>IF(AQ69="1",BI69,0)</f>
        <v>0</v>
      </c>
      <c r="AD69" s="32">
        <f>IF(AQ69="7",BH69,0)</f>
        <v>0</v>
      </c>
      <c r="AE69" s="32">
        <f>IF(AQ69="7",BI69,0)</f>
        <v>0</v>
      </c>
      <c r="AF69" s="32">
        <f>IF(AQ69="2",BH69,0)</f>
        <v>0</v>
      </c>
      <c r="AG69" s="32">
        <f>IF(AQ69="2",BI69,0)</f>
        <v>0</v>
      </c>
      <c r="AH69" s="32">
        <f>IF(AQ69="0",BJ69,0)</f>
        <v>0</v>
      </c>
      <c r="AI69" s="26" t="s">
        <v>181</v>
      </c>
      <c r="AJ69" s="15">
        <f>IF(AN69=0,K69,0)</f>
        <v>0</v>
      </c>
      <c r="AK69" s="15">
        <f>IF(AN69=15,K69,0)</f>
        <v>0</v>
      </c>
      <c r="AL69" s="15">
        <f>IF(AN69=21,K69,0)</f>
        <v>0</v>
      </c>
      <c r="AN69" s="32">
        <v>21</v>
      </c>
      <c r="AO69" s="32">
        <f>H69*0</f>
        <v>0</v>
      </c>
      <c r="AP69" s="32">
        <f>H69*(1-0)</f>
        <v>0</v>
      </c>
      <c r="AQ69" s="27" t="s">
        <v>11</v>
      </c>
      <c r="AV69" s="32">
        <f>AW69+AX69</f>
        <v>0</v>
      </c>
      <c r="AW69" s="32">
        <f>G69*AO69</f>
        <v>0</v>
      </c>
      <c r="AX69" s="32">
        <f>G69*AP69</f>
        <v>0</v>
      </c>
      <c r="AY69" s="33" t="s">
        <v>198</v>
      </c>
      <c r="AZ69" s="33" t="s">
        <v>206</v>
      </c>
      <c r="BA69" s="26" t="s">
        <v>207</v>
      </c>
      <c r="BC69" s="32">
        <f>AW69+AX69</f>
        <v>0</v>
      </c>
      <c r="BD69" s="32">
        <f>H69/(100-BE69)*100</f>
        <v>0</v>
      </c>
      <c r="BE69" s="32">
        <v>0</v>
      </c>
      <c r="BF69" s="32">
        <f>69</f>
        <v>69</v>
      </c>
      <c r="BH69" s="15">
        <f>G69*AO69</f>
        <v>0</v>
      </c>
      <c r="BI69" s="15">
        <f>G69*AP69</f>
        <v>0</v>
      </c>
      <c r="BJ69" s="15">
        <f>G69*H69</f>
        <v>0</v>
      </c>
    </row>
    <row r="70" spans="1:13" ht="12.75">
      <c r="A70" s="8"/>
      <c r="B70" s="8"/>
      <c r="C70" s="8"/>
      <c r="D70" s="8"/>
      <c r="E70" s="8"/>
      <c r="F70" s="8"/>
      <c r="G70" s="8"/>
      <c r="H70" s="8"/>
      <c r="I70" s="74" t="s">
        <v>165</v>
      </c>
      <c r="J70" s="75"/>
      <c r="K70" s="36">
        <f>ROUND(K13+K17+K21+K24+K30+K32+K35+K40+K43+K46+K48+K52+K55+K59+K62+K64+K66,0)</f>
        <v>0</v>
      </c>
      <c r="L70" s="8"/>
      <c r="M70" s="8"/>
    </row>
    <row r="71" ht="11.25" customHeight="1">
      <c r="A71" s="9" t="s">
        <v>44</v>
      </c>
    </row>
    <row r="72" spans="1:13" ht="12.75">
      <c r="A72" s="7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</sheetData>
  <sheetProtection/>
  <mergeCells count="88">
    <mergeCell ref="A1:M1"/>
    <mergeCell ref="A2:B3"/>
    <mergeCell ref="C2:D3"/>
    <mergeCell ref="E2:F3"/>
    <mergeCell ref="G2:G3"/>
    <mergeCell ref="H2:H3"/>
    <mergeCell ref="I2:M3"/>
    <mergeCell ref="A4:B5"/>
    <mergeCell ref="C4:D5"/>
    <mergeCell ref="E4:F5"/>
    <mergeCell ref="G4:G5"/>
    <mergeCell ref="H4:H5"/>
    <mergeCell ref="I4:M5"/>
    <mergeCell ref="A6:B7"/>
    <mergeCell ref="C6:D7"/>
    <mergeCell ref="E6:F7"/>
    <mergeCell ref="G6:G7"/>
    <mergeCell ref="H6:H7"/>
    <mergeCell ref="I6:M7"/>
    <mergeCell ref="A8:B9"/>
    <mergeCell ref="C8:D9"/>
    <mergeCell ref="E8:F9"/>
    <mergeCell ref="G8:G9"/>
    <mergeCell ref="H8:H9"/>
    <mergeCell ref="I8:M9"/>
    <mergeCell ref="C10:E10"/>
    <mergeCell ref="I10:K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9:E69"/>
    <mergeCell ref="I70:J70"/>
    <mergeCell ref="A72:M72"/>
    <mergeCell ref="C63:E63"/>
    <mergeCell ref="C64:E64"/>
    <mergeCell ref="C65:E65"/>
    <mergeCell ref="C66:E66"/>
    <mergeCell ref="C67:E67"/>
    <mergeCell ref="C68:E68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2" sqref="F2:G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8"/>
      <c r="B1" s="42"/>
      <c r="C1" s="146" t="s">
        <v>226</v>
      </c>
      <c r="D1" s="113"/>
      <c r="E1" s="113"/>
      <c r="F1" s="113"/>
      <c r="G1" s="113"/>
      <c r="H1" s="113"/>
      <c r="I1" s="113"/>
    </row>
    <row r="2" spans="1:10" ht="12.75">
      <c r="A2" s="114" t="s">
        <v>1</v>
      </c>
      <c r="B2" s="115"/>
      <c r="C2" s="116" t="str">
        <f>'Stavební rozpočet'!C2</f>
        <v>ŠKUDLY-oprava Návesního rybníka</v>
      </c>
      <c r="D2" s="75"/>
      <c r="E2" s="119" t="s">
        <v>156</v>
      </c>
      <c r="F2" s="109" t="s">
        <v>268</v>
      </c>
      <c r="G2" s="147"/>
      <c r="H2" s="119" t="s">
        <v>251</v>
      </c>
      <c r="I2" s="148"/>
      <c r="J2" s="30"/>
    </row>
    <row r="3" spans="1:10" ht="12.75">
      <c r="A3" s="106"/>
      <c r="B3" s="77"/>
      <c r="C3" s="117"/>
      <c r="D3" s="117"/>
      <c r="E3" s="77"/>
      <c r="F3" s="102"/>
      <c r="G3" s="102"/>
      <c r="H3" s="77"/>
      <c r="I3" s="145"/>
      <c r="J3" s="30"/>
    </row>
    <row r="4" spans="1:10" ht="12.75">
      <c r="A4" s="97" t="s">
        <v>2</v>
      </c>
      <c r="B4" s="77"/>
      <c r="C4" s="76" t="str">
        <f>'Stavební rozpočet'!C4</f>
        <v> </v>
      </c>
      <c r="D4" s="77"/>
      <c r="E4" s="76" t="s">
        <v>157</v>
      </c>
      <c r="F4" s="101" t="s">
        <v>269</v>
      </c>
      <c r="G4" s="102"/>
      <c r="H4" s="76" t="s">
        <v>251</v>
      </c>
      <c r="I4" s="144"/>
      <c r="J4" s="30"/>
    </row>
    <row r="5" spans="1:10" ht="12.75">
      <c r="A5" s="106"/>
      <c r="B5" s="77"/>
      <c r="C5" s="77"/>
      <c r="D5" s="77"/>
      <c r="E5" s="77"/>
      <c r="F5" s="102"/>
      <c r="G5" s="102"/>
      <c r="H5" s="77"/>
      <c r="I5" s="145"/>
      <c r="J5" s="30"/>
    </row>
    <row r="6" spans="1:10" ht="12.75">
      <c r="A6" s="97" t="s">
        <v>3</v>
      </c>
      <c r="B6" s="77"/>
      <c r="C6" s="76" t="str">
        <f>'Stavební rozpočet'!C6</f>
        <v> </v>
      </c>
      <c r="D6" s="77"/>
      <c r="E6" s="76" t="s">
        <v>158</v>
      </c>
      <c r="F6" s="101" t="s">
        <v>162</v>
      </c>
      <c r="G6" s="102"/>
      <c r="H6" s="76" t="s">
        <v>251</v>
      </c>
      <c r="I6" s="144"/>
      <c r="J6" s="30"/>
    </row>
    <row r="7" spans="1:10" ht="12.75">
      <c r="A7" s="106"/>
      <c r="B7" s="77"/>
      <c r="C7" s="77"/>
      <c r="D7" s="77"/>
      <c r="E7" s="77"/>
      <c r="F7" s="102"/>
      <c r="G7" s="102"/>
      <c r="H7" s="77"/>
      <c r="I7" s="145"/>
      <c r="J7" s="30"/>
    </row>
    <row r="8" spans="1:10" ht="12.75">
      <c r="A8" s="97" t="s">
        <v>144</v>
      </c>
      <c r="B8" s="77"/>
      <c r="C8" s="76" t="str">
        <f>'Stavební rozpočet'!G4</f>
        <v>21.09.2019</v>
      </c>
      <c r="D8" s="77"/>
      <c r="E8" s="76" t="s">
        <v>145</v>
      </c>
      <c r="F8" s="101" t="s">
        <v>6</v>
      </c>
      <c r="G8" s="102"/>
      <c r="H8" s="100" t="s">
        <v>252</v>
      </c>
      <c r="I8" s="144" t="s">
        <v>43</v>
      </c>
      <c r="J8" s="30"/>
    </row>
    <row r="9" spans="1:10" ht="12.75">
      <c r="A9" s="106"/>
      <c r="B9" s="77"/>
      <c r="C9" s="77"/>
      <c r="D9" s="77"/>
      <c r="E9" s="77"/>
      <c r="F9" s="102"/>
      <c r="G9" s="102"/>
      <c r="H9" s="77"/>
      <c r="I9" s="145"/>
      <c r="J9" s="30"/>
    </row>
    <row r="10" spans="1:10" ht="12.75">
      <c r="A10" s="97" t="s">
        <v>4</v>
      </c>
      <c r="B10" s="77"/>
      <c r="C10" s="76" t="str">
        <f>'Stavební rozpočet'!C8</f>
        <v> </v>
      </c>
      <c r="D10" s="77"/>
      <c r="E10" s="76" t="s">
        <v>159</v>
      </c>
      <c r="F10" s="101" t="s">
        <v>270</v>
      </c>
      <c r="G10" s="102"/>
      <c r="H10" s="100" t="s">
        <v>253</v>
      </c>
      <c r="I10" s="142" t="str">
        <f>'Stavební rozpočet'!G8</f>
        <v>21.09.2019</v>
      </c>
      <c r="J10" s="30"/>
    </row>
    <row r="11" spans="1:10" ht="12.75">
      <c r="A11" s="139"/>
      <c r="B11" s="140"/>
      <c r="C11" s="140"/>
      <c r="D11" s="140"/>
      <c r="E11" s="140"/>
      <c r="F11" s="141"/>
      <c r="G11" s="141"/>
      <c r="H11" s="140"/>
      <c r="I11" s="143"/>
      <c r="J11" s="30"/>
    </row>
    <row r="12" spans="1:9" ht="23.25" customHeight="1">
      <c r="A12" s="135" t="s">
        <v>211</v>
      </c>
      <c r="B12" s="136"/>
      <c r="C12" s="136"/>
      <c r="D12" s="136"/>
      <c r="E12" s="136"/>
      <c r="F12" s="136"/>
      <c r="G12" s="136"/>
      <c r="H12" s="136"/>
      <c r="I12" s="136"/>
    </row>
    <row r="13" spans="1:10" ht="26.25" customHeight="1">
      <c r="A13" s="43" t="s">
        <v>212</v>
      </c>
      <c r="B13" s="137" t="s">
        <v>224</v>
      </c>
      <c r="C13" s="138"/>
      <c r="D13" s="43" t="s">
        <v>227</v>
      </c>
      <c r="E13" s="137" t="s">
        <v>236</v>
      </c>
      <c r="F13" s="138"/>
      <c r="G13" s="43" t="s">
        <v>237</v>
      </c>
      <c r="H13" s="137" t="s">
        <v>254</v>
      </c>
      <c r="I13" s="138"/>
      <c r="J13" s="30"/>
    </row>
    <row r="14" spans="1:10" ht="15" customHeight="1">
      <c r="A14" s="44" t="s">
        <v>213</v>
      </c>
      <c r="B14" s="48" t="s">
        <v>225</v>
      </c>
      <c r="C14" s="52">
        <f>SUM('Stavební rozpočet'!AB12:AB69)</f>
        <v>0</v>
      </c>
      <c r="D14" s="133" t="s">
        <v>228</v>
      </c>
      <c r="E14" s="134"/>
      <c r="F14" s="52">
        <f>VORN!I15</f>
        <v>0</v>
      </c>
      <c r="G14" s="133" t="s">
        <v>238</v>
      </c>
      <c r="H14" s="134"/>
      <c r="I14" s="52">
        <f>VORN!I21</f>
        <v>0</v>
      </c>
      <c r="J14" s="30"/>
    </row>
    <row r="15" spans="1:10" ht="15" customHeight="1">
      <c r="A15" s="45"/>
      <c r="B15" s="48" t="s">
        <v>166</v>
      </c>
      <c r="C15" s="52">
        <f>SUM('Stavební rozpočet'!AC12:AC69)</f>
        <v>0</v>
      </c>
      <c r="D15" s="133" t="s">
        <v>229</v>
      </c>
      <c r="E15" s="134"/>
      <c r="F15" s="52">
        <f>VORN!I16</f>
        <v>0</v>
      </c>
      <c r="G15" s="133" t="s">
        <v>239</v>
      </c>
      <c r="H15" s="134"/>
      <c r="I15" s="52">
        <f>VORN!I22</f>
        <v>0</v>
      </c>
      <c r="J15" s="30"/>
    </row>
    <row r="16" spans="1:10" ht="15" customHeight="1">
      <c r="A16" s="44" t="s">
        <v>214</v>
      </c>
      <c r="B16" s="48" t="s">
        <v>225</v>
      </c>
      <c r="C16" s="52">
        <f>SUM('Stavební rozpočet'!AD12:AD69)</f>
        <v>0</v>
      </c>
      <c r="D16" s="133" t="s">
        <v>230</v>
      </c>
      <c r="E16" s="134"/>
      <c r="F16" s="52">
        <f>VORN!I17</f>
        <v>0</v>
      </c>
      <c r="G16" s="133" t="s">
        <v>240</v>
      </c>
      <c r="H16" s="134"/>
      <c r="I16" s="52">
        <f>VORN!I23</f>
        <v>0</v>
      </c>
      <c r="J16" s="30"/>
    </row>
    <row r="17" spans="1:10" ht="15" customHeight="1">
      <c r="A17" s="45"/>
      <c r="B17" s="48" t="s">
        <v>166</v>
      </c>
      <c r="C17" s="52">
        <f>SUM('Stavební rozpočet'!AE12:AE69)</f>
        <v>0</v>
      </c>
      <c r="D17" s="133"/>
      <c r="E17" s="134"/>
      <c r="F17" s="53"/>
      <c r="G17" s="133" t="s">
        <v>241</v>
      </c>
      <c r="H17" s="134"/>
      <c r="I17" s="52">
        <f>VORN!I24</f>
        <v>0</v>
      </c>
      <c r="J17" s="30"/>
    </row>
    <row r="18" spans="1:10" ht="15" customHeight="1">
      <c r="A18" s="44" t="s">
        <v>215</v>
      </c>
      <c r="B18" s="48" t="s">
        <v>225</v>
      </c>
      <c r="C18" s="52">
        <f>SUM('Stavební rozpočet'!AF12:AF69)</f>
        <v>0</v>
      </c>
      <c r="D18" s="133"/>
      <c r="E18" s="134"/>
      <c r="F18" s="53"/>
      <c r="G18" s="133" t="s">
        <v>242</v>
      </c>
      <c r="H18" s="134"/>
      <c r="I18" s="52">
        <f>VORN!I25</f>
        <v>0</v>
      </c>
      <c r="J18" s="30"/>
    </row>
    <row r="19" spans="1:10" ht="15" customHeight="1">
      <c r="A19" s="45"/>
      <c r="B19" s="48" t="s">
        <v>166</v>
      </c>
      <c r="C19" s="52">
        <f>SUM('Stavební rozpočet'!AG12:AG69)</f>
        <v>0</v>
      </c>
      <c r="D19" s="133"/>
      <c r="E19" s="134"/>
      <c r="F19" s="53"/>
      <c r="G19" s="133" t="s">
        <v>243</v>
      </c>
      <c r="H19" s="134"/>
      <c r="I19" s="52">
        <f>VORN!I26</f>
        <v>0</v>
      </c>
      <c r="J19" s="30"/>
    </row>
    <row r="20" spans="1:10" ht="15" customHeight="1">
      <c r="A20" s="131" t="s">
        <v>216</v>
      </c>
      <c r="B20" s="132"/>
      <c r="C20" s="52">
        <f>SUM('Stavební rozpočet'!AH12:AH69)</f>
        <v>0</v>
      </c>
      <c r="D20" s="133"/>
      <c r="E20" s="134"/>
      <c r="F20" s="53"/>
      <c r="G20" s="133"/>
      <c r="H20" s="134"/>
      <c r="I20" s="53"/>
      <c r="J20" s="30"/>
    </row>
    <row r="21" spans="1:10" ht="15" customHeight="1">
      <c r="A21" s="131" t="s">
        <v>217</v>
      </c>
      <c r="B21" s="132"/>
      <c r="C21" s="52">
        <f>SUM('Stavební rozpočet'!Z12:Z69)</f>
        <v>0</v>
      </c>
      <c r="D21" s="133"/>
      <c r="E21" s="134"/>
      <c r="F21" s="53"/>
      <c r="G21" s="133"/>
      <c r="H21" s="134"/>
      <c r="I21" s="53"/>
      <c r="J21" s="30"/>
    </row>
    <row r="22" spans="1:10" ht="16.5" customHeight="1">
      <c r="A22" s="131" t="s">
        <v>218</v>
      </c>
      <c r="B22" s="132"/>
      <c r="C22" s="52">
        <f>ROUND(SUM(C14:C21),0)</f>
        <v>0</v>
      </c>
      <c r="D22" s="131" t="s">
        <v>231</v>
      </c>
      <c r="E22" s="132"/>
      <c r="F22" s="52">
        <f>SUM(F14:F21)</f>
        <v>0</v>
      </c>
      <c r="G22" s="131" t="s">
        <v>244</v>
      </c>
      <c r="H22" s="132"/>
      <c r="I22" s="52">
        <f>SUM(I14:I21)</f>
        <v>0</v>
      </c>
      <c r="J22" s="30"/>
    </row>
    <row r="23" spans="1:10" ht="15" customHeight="1">
      <c r="A23" s="8"/>
      <c r="B23" s="8"/>
      <c r="C23" s="50"/>
      <c r="D23" s="131" t="s">
        <v>232</v>
      </c>
      <c r="E23" s="132"/>
      <c r="F23" s="54">
        <v>0</v>
      </c>
      <c r="G23" s="131" t="s">
        <v>245</v>
      </c>
      <c r="H23" s="132"/>
      <c r="I23" s="52">
        <v>0</v>
      </c>
      <c r="J23" s="30"/>
    </row>
    <row r="24" spans="4:10" ht="15" customHeight="1">
      <c r="D24" s="8"/>
      <c r="E24" s="8"/>
      <c r="F24" s="55"/>
      <c r="G24" s="131" t="s">
        <v>246</v>
      </c>
      <c r="H24" s="132"/>
      <c r="I24" s="52">
        <f>vorn_sum</f>
        <v>0</v>
      </c>
      <c r="J24" s="30"/>
    </row>
    <row r="25" spans="6:10" ht="15" customHeight="1">
      <c r="F25" s="56"/>
      <c r="G25" s="131" t="s">
        <v>247</v>
      </c>
      <c r="H25" s="132"/>
      <c r="I25" s="52">
        <v>0</v>
      </c>
      <c r="J25" s="30"/>
    </row>
    <row r="26" spans="1:9" ht="12.75">
      <c r="A26" s="42"/>
      <c r="B26" s="42"/>
      <c r="C26" s="42"/>
      <c r="G26" s="8"/>
      <c r="H26" s="8"/>
      <c r="I26" s="8"/>
    </row>
    <row r="27" spans="1:9" ht="15" customHeight="1">
      <c r="A27" s="126" t="s">
        <v>219</v>
      </c>
      <c r="B27" s="127"/>
      <c r="C27" s="57">
        <f>ROUND(SUM('Stavební rozpočet'!AJ12:AJ69),0)</f>
        <v>0</v>
      </c>
      <c r="D27" s="51"/>
      <c r="E27" s="42"/>
      <c r="F27" s="42"/>
      <c r="G27" s="42"/>
      <c r="H27" s="42"/>
      <c r="I27" s="42"/>
    </row>
    <row r="28" spans="1:10" ht="15" customHeight="1">
      <c r="A28" s="126" t="s">
        <v>220</v>
      </c>
      <c r="B28" s="127"/>
      <c r="C28" s="57">
        <f>ROUND(SUM('Stavební rozpočet'!AK12:AK69),0)</f>
        <v>0</v>
      </c>
      <c r="D28" s="126" t="s">
        <v>233</v>
      </c>
      <c r="E28" s="127"/>
      <c r="F28" s="57">
        <f>ROUND(C28*(15/100),2)</f>
        <v>0</v>
      </c>
      <c r="G28" s="126" t="s">
        <v>248</v>
      </c>
      <c r="H28" s="127"/>
      <c r="I28" s="57">
        <f>ROUND(SUM(C27:C29),0)</f>
        <v>0</v>
      </c>
      <c r="J28" s="30"/>
    </row>
    <row r="29" spans="1:10" ht="15" customHeight="1">
      <c r="A29" s="126" t="s">
        <v>221</v>
      </c>
      <c r="B29" s="127"/>
      <c r="C29" s="57">
        <f>ROUND(SUM('Stavební rozpočet'!AL12:AL69)+(F22+I22+F23+I23+I24+I25),0)</f>
        <v>0</v>
      </c>
      <c r="D29" s="126" t="s">
        <v>234</v>
      </c>
      <c r="E29" s="127"/>
      <c r="F29" s="57">
        <f>ROUND(C29*(21/100),2)</f>
        <v>0</v>
      </c>
      <c r="G29" s="126" t="s">
        <v>249</v>
      </c>
      <c r="H29" s="127"/>
      <c r="I29" s="57">
        <f>ROUND(SUM(F28:F29)+I28,0)</f>
        <v>0</v>
      </c>
      <c r="J29" s="30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10" ht="14.25" customHeight="1">
      <c r="A31" s="128" t="s">
        <v>222</v>
      </c>
      <c r="B31" s="129"/>
      <c r="C31" s="130"/>
      <c r="D31" s="128" t="s">
        <v>235</v>
      </c>
      <c r="E31" s="129"/>
      <c r="F31" s="130"/>
      <c r="G31" s="128" t="s">
        <v>250</v>
      </c>
      <c r="H31" s="129"/>
      <c r="I31" s="130"/>
      <c r="J31" s="31"/>
    </row>
    <row r="32" spans="1:10" ht="14.25" customHeight="1">
      <c r="A32" s="120"/>
      <c r="B32" s="121"/>
      <c r="C32" s="122"/>
      <c r="D32" s="120"/>
      <c r="E32" s="121"/>
      <c r="F32" s="122"/>
      <c r="G32" s="120"/>
      <c r="H32" s="121"/>
      <c r="I32" s="122"/>
      <c r="J32" s="31"/>
    </row>
    <row r="33" spans="1:10" ht="14.25" customHeight="1">
      <c r="A33" s="120"/>
      <c r="B33" s="121"/>
      <c r="C33" s="122"/>
      <c r="D33" s="120"/>
      <c r="E33" s="121"/>
      <c r="F33" s="122"/>
      <c r="G33" s="120"/>
      <c r="H33" s="121"/>
      <c r="I33" s="122"/>
      <c r="J33" s="31"/>
    </row>
    <row r="34" spans="1:10" ht="14.25" customHeight="1">
      <c r="A34" s="120"/>
      <c r="B34" s="121"/>
      <c r="C34" s="122"/>
      <c r="D34" s="120"/>
      <c r="E34" s="121"/>
      <c r="F34" s="122"/>
      <c r="G34" s="120"/>
      <c r="H34" s="121"/>
      <c r="I34" s="122"/>
      <c r="J34" s="31"/>
    </row>
    <row r="35" spans="1:10" ht="14.25" customHeight="1">
      <c r="A35" s="123" t="s">
        <v>223</v>
      </c>
      <c r="B35" s="124"/>
      <c r="C35" s="125"/>
      <c r="D35" s="123" t="s">
        <v>223</v>
      </c>
      <c r="E35" s="124"/>
      <c r="F35" s="125"/>
      <c r="G35" s="123" t="s">
        <v>223</v>
      </c>
      <c r="H35" s="124"/>
      <c r="I35" s="125"/>
      <c r="J35" s="31"/>
    </row>
    <row r="36" spans="1:9" ht="11.25" customHeight="1">
      <c r="A36" s="47" t="s">
        <v>44</v>
      </c>
      <c r="B36" s="49"/>
      <c r="C36" s="49"/>
      <c r="D36" s="49"/>
      <c r="E36" s="49"/>
      <c r="F36" s="49"/>
      <c r="G36" s="49"/>
      <c r="H36" s="49"/>
      <c r="I36" s="49"/>
    </row>
    <row r="37" spans="1:9" ht="12.75">
      <c r="A37" s="76"/>
      <c r="B37" s="77"/>
      <c r="C37" s="77"/>
      <c r="D37" s="77"/>
      <c r="E37" s="77"/>
      <c r="F37" s="77"/>
      <c r="G37" s="77"/>
      <c r="H37" s="77"/>
      <c r="I37" s="77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E43" sqref="E4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68"/>
      <c r="B1" s="42"/>
      <c r="C1" s="146" t="s">
        <v>263</v>
      </c>
      <c r="D1" s="113"/>
      <c r="E1" s="113"/>
      <c r="F1" s="113"/>
      <c r="G1" s="113"/>
      <c r="H1" s="113"/>
      <c r="I1" s="113"/>
    </row>
    <row r="2" spans="1:10" ht="12.75">
      <c r="A2" s="114" t="s">
        <v>1</v>
      </c>
      <c r="B2" s="115"/>
      <c r="C2" s="116" t="str">
        <f>'Stavební rozpočet'!C2</f>
        <v>ŠKUDLY-oprava Návesního rybníka</v>
      </c>
      <c r="D2" s="75"/>
      <c r="E2" s="119" t="s">
        <v>156</v>
      </c>
      <c r="F2" s="119" t="str">
        <f>'Stavební rozpočet'!I2</f>
        <v>Město Přelouč, Československé armády 1665 535 33  Přelouč, IČO 00274101</v>
      </c>
      <c r="G2" s="115"/>
      <c r="H2" s="119" t="s">
        <v>251</v>
      </c>
      <c r="I2" s="148"/>
      <c r="J2" s="30"/>
    </row>
    <row r="3" spans="1:10" ht="12.75">
      <c r="A3" s="106"/>
      <c r="B3" s="77"/>
      <c r="C3" s="117"/>
      <c r="D3" s="117"/>
      <c r="E3" s="77"/>
      <c r="F3" s="77"/>
      <c r="G3" s="77"/>
      <c r="H3" s="77"/>
      <c r="I3" s="145"/>
      <c r="J3" s="30"/>
    </row>
    <row r="4" spans="1:10" ht="12.75">
      <c r="A4" s="97" t="s">
        <v>2</v>
      </c>
      <c r="B4" s="77"/>
      <c r="C4" s="76" t="str">
        <f>'Stavební rozpočet'!C4</f>
        <v> </v>
      </c>
      <c r="D4" s="77"/>
      <c r="E4" s="76" t="s">
        <v>157</v>
      </c>
      <c r="F4" s="76" t="str">
        <f>'Stavební rozpočet'!I4</f>
        <v>Aquion, s.r.o., Ing. Lubomír Macek, CSc., MBA; Osadní 324/12a, 170 00  Praha 7</v>
      </c>
      <c r="G4" s="77"/>
      <c r="H4" s="76" t="s">
        <v>251</v>
      </c>
      <c r="I4" s="144"/>
      <c r="J4" s="30"/>
    </row>
    <row r="5" spans="1:10" ht="12.75">
      <c r="A5" s="106"/>
      <c r="B5" s="77"/>
      <c r="C5" s="77"/>
      <c r="D5" s="77"/>
      <c r="E5" s="77"/>
      <c r="F5" s="77"/>
      <c r="G5" s="77"/>
      <c r="H5" s="77"/>
      <c r="I5" s="145"/>
      <c r="J5" s="30"/>
    </row>
    <row r="6" spans="1:10" ht="12.75">
      <c r="A6" s="97" t="s">
        <v>3</v>
      </c>
      <c r="B6" s="77"/>
      <c r="C6" s="76" t="str">
        <f>'Stavební rozpočet'!C6</f>
        <v> </v>
      </c>
      <c r="D6" s="77"/>
      <c r="E6" s="76" t="s">
        <v>158</v>
      </c>
      <c r="F6" s="76" t="str">
        <f>'Stavební rozpočet'!I6</f>
        <v> </v>
      </c>
      <c r="G6" s="77"/>
      <c r="H6" s="76" t="s">
        <v>251</v>
      </c>
      <c r="I6" s="144"/>
      <c r="J6" s="30"/>
    </row>
    <row r="7" spans="1:10" ht="12.75">
      <c r="A7" s="106"/>
      <c r="B7" s="77"/>
      <c r="C7" s="77"/>
      <c r="D7" s="77"/>
      <c r="E7" s="77"/>
      <c r="F7" s="77"/>
      <c r="G7" s="77"/>
      <c r="H7" s="77"/>
      <c r="I7" s="145"/>
      <c r="J7" s="30"/>
    </row>
    <row r="8" spans="1:10" ht="12.75">
      <c r="A8" s="97" t="s">
        <v>144</v>
      </c>
      <c r="B8" s="77"/>
      <c r="C8" s="76" t="str">
        <f>'Stavební rozpočet'!G4</f>
        <v>21.09.2019</v>
      </c>
      <c r="D8" s="77"/>
      <c r="E8" s="76" t="s">
        <v>145</v>
      </c>
      <c r="F8" s="76" t="str">
        <f>'Stavební rozpočet'!G6</f>
        <v> </v>
      </c>
      <c r="G8" s="77"/>
      <c r="H8" s="100" t="s">
        <v>252</v>
      </c>
      <c r="I8" s="144" t="s">
        <v>43</v>
      </c>
      <c r="J8" s="30"/>
    </row>
    <row r="9" spans="1:10" ht="12.75">
      <c r="A9" s="106"/>
      <c r="B9" s="77"/>
      <c r="C9" s="77"/>
      <c r="D9" s="77"/>
      <c r="E9" s="77"/>
      <c r="F9" s="77"/>
      <c r="G9" s="77"/>
      <c r="H9" s="77"/>
      <c r="I9" s="145"/>
      <c r="J9" s="30"/>
    </row>
    <row r="10" spans="1:10" ht="12.75">
      <c r="A10" s="97" t="s">
        <v>4</v>
      </c>
      <c r="B10" s="77"/>
      <c r="C10" s="76" t="str">
        <f>'Stavební rozpočet'!C8</f>
        <v> </v>
      </c>
      <c r="D10" s="77"/>
      <c r="E10" s="76" t="s">
        <v>159</v>
      </c>
      <c r="F10" s="76" t="str">
        <f>'Stavební rozpočet'!I8</f>
        <v>ing.Jaroslav Váňa, Újezd 26, 100 00 Praha 1, IČO 42500427</v>
      </c>
      <c r="G10" s="77"/>
      <c r="H10" s="100" t="s">
        <v>253</v>
      </c>
      <c r="I10" s="142" t="str">
        <f>'Stavební rozpočet'!G8</f>
        <v>21.09.2019</v>
      </c>
      <c r="J10" s="30"/>
    </row>
    <row r="11" spans="1:10" ht="12.75">
      <c r="A11" s="139"/>
      <c r="B11" s="140"/>
      <c r="C11" s="140"/>
      <c r="D11" s="140"/>
      <c r="E11" s="140"/>
      <c r="F11" s="140"/>
      <c r="G11" s="140"/>
      <c r="H11" s="140"/>
      <c r="I11" s="143"/>
      <c r="J11" s="30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164" t="s">
        <v>255</v>
      </c>
      <c r="B13" s="165"/>
      <c r="C13" s="165"/>
      <c r="D13" s="165"/>
      <c r="E13" s="165"/>
      <c r="F13" s="59"/>
      <c r="G13" s="59"/>
      <c r="H13" s="59"/>
      <c r="I13" s="59"/>
    </row>
    <row r="14" spans="1:10" ht="12.75" hidden="1">
      <c r="A14" s="166"/>
      <c r="B14" s="167"/>
      <c r="C14" s="167"/>
      <c r="D14" s="167"/>
      <c r="E14" s="168"/>
      <c r="F14" s="60"/>
      <c r="G14" s="60"/>
      <c r="H14" s="60"/>
      <c r="I14" s="60" t="s">
        <v>264</v>
      </c>
      <c r="J14" s="31"/>
    </row>
    <row r="15" spans="1:10" ht="12.75" hidden="1">
      <c r="A15" s="149"/>
      <c r="B15" s="150"/>
      <c r="C15" s="150"/>
      <c r="D15" s="150"/>
      <c r="E15" s="151"/>
      <c r="F15" s="61"/>
      <c r="G15" s="64"/>
      <c r="H15" s="64"/>
      <c r="I15" s="61">
        <f>F15</f>
        <v>0</v>
      </c>
      <c r="J15" s="30"/>
    </row>
    <row r="16" spans="1:10" ht="12.75" hidden="1">
      <c r="A16" s="149"/>
      <c r="B16" s="150"/>
      <c r="C16" s="150"/>
      <c r="D16" s="150"/>
      <c r="E16" s="151"/>
      <c r="F16" s="61"/>
      <c r="G16" s="64"/>
      <c r="H16" s="64"/>
      <c r="I16" s="61">
        <f>F16</f>
        <v>0</v>
      </c>
      <c r="J16" s="30"/>
    </row>
    <row r="17" spans="1:10" ht="12.75" hidden="1">
      <c r="A17" s="152"/>
      <c r="B17" s="153"/>
      <c r="C17" s="153"/>
      <c r="D17" s="153"/>
      <c r="E17" s="154"/>
      <c r="F17" s="62"/>
      <c r="G17" s="65"/>
      <c r="H17" s="65"/>
      <c r="I17" s="62">
        <f>F17</f>
        <v>0</v>
      </c>
      <c r="J17" s="30"/>
    </row>
    <row r="18" spans="1:10" ht="12.75" hidden="1">
      <c r="A18" s="155"/>
      <c r="B18" s="156"/>
      <c r="C18" s="156"/>
      <c r="D18" s="156"/>
      <c r="E18" s="157"/>
      <c r="F18" s="63"/>
      <c r="G18" s="66"/>
      <c r="H18" s="66"/>
      <c r="I18" s="67">
        <f>SUM(I15:I17)</f>
        <v>0</v>
      </c>
      <c r="J18" s="31"/>
    </row>
    <row r="19" spans="1:9" ht="12.75" hidden="1">
      <c r="A19" s="58"/>
      <c r="B19" s="58"/>
      <c r="C19" s="58"/>
      <c r="D19" s="58"/>
      <c r="E19" s="58"/>
      <c r="F19" s="58"/>
      <c r="G19" s="58"/>
      <c r="H19" s="58"/>
      <c r="I19" s="58"/>
    </row>
    <row r="20" spans="1:10" ht="12.75">
      <c r="A20" s="166" t="s">
        <v>254</v>
      </c>
      <c r="B20" s="167"/>
      <c r="C20" s="167"/>
      <c r="D20" s="167"/>
      <c r="E20" s="168"/>
      <c r="F20" s="60" t="s">
        <v>264</v>
      </c>
      <c r="G20" s="60" t="s">
        <v>168</v>
      </c>
      <c r="H20" s="60" t="s">
        <v>265</v>
      </c>
      <c r="I20" s="60" t="s">
        <v>264</v>
      </c>
      <c r="J20" s="31"/>
    </row>
    <row r="21" spans="1:10" ht="12.75">
      <c r="A21" s="149" t="s">
        <v>238</v>
      </c>
      <c r="B21" s="150"/>
      <c r="C21" s="150"/>
      <c r="D21" s="150"/>
      <c r="E21" s="151"/>
      <c r="F21" s="61">
        <v>0</v>
      </c>
      <c r="G21" s="64"/>
      <c r="H21" s="64"/>
      <c r="I21" s="61">
        <f aca="true" t="shared" si="0" ref="I21:I26">F21</f>
        <v>0</v>
      </c>
      <c r="J21" s="30"/>
    </row>
    <row r="22" spans="1:10" ht="12.75">
      <c r="A22" s="149" t="s">
        <v>239</v>
      </c>
      <c r="B22" s="150"/>
      <c r="C22" s="150"/>
      <c r="D22" s="150"/>
      <c r="E22" s="151"/>
      <c r="F22" s="61">
        <v>0</v>
      </c>
      <c r="G22" s="64"/>
      <c r="H22" s="64"/>
      <c r="I22" s="61">
        <f t="shared" si="0"/>
        <v>0</v>
      </c>
      <c r="J22" s="30"/>
    </row>
    <row r="23" spans="1:10" ht="12.75">
      <c r="A23" s="149" t="s">
        <v>240</v>
      </c>
      <c r="B23" s="150"/>
      <c r="C23" s="150"/>
      <c r="D23" s="150"/>
      <c r="E23" s="151"/>
      <c r="F23" s="61">
        <v>0</v>
      </c>
      <c r="G23" s="64"/>
      <c r="H23" s="64"/>
      <c r="I23" s="61">
        <f t="shared" si="0"/>
        <v>0</v>
      </c>
      <c r="J23" s="30"/>
    </row>
    <row r="24" spans="1:10" ht="12.75">
      <c r="A24" s="149" t="s">
        <v>241</v>
      </c>
      <c r="B24" s="150"/>
      <c r="C24" s="150"/>
      <c r="D24" s="150"/>
      <c r="E24" s="151"/>
      <c r="F24" s="61">
        <v>0</v>
      </c>
      <c r="G24" s="64"/>
      <c r="H24" s="64"/>
      <c r="I24" s="61">
        <f t="shared" si="0"/>
        <v>0</v>
      </c>
      <c r="J24" s="30"/>
    </row>
    <row r="25" spans="1:10" ht="12.75">
      <c r="A25" s="149" t="s">
        <v>242</v>
      </c>
      <c r="B25" s="150"/>
      <c r="C25" s="150"/>
      <c r="D25" s="150"/>
      <c r="E25" s="151"/>
      <c r="F25" s="61">
        <v>0</v>
      </c>
      <c r="G25" s="64"/>
      <c r="H25" s="64"/>
      <c r="I25" s="61">
        <f t="shared" si="0"/>
        <v>0</v>
      </c>
      <c r="J25" s="30"/>
    </row>
    <row r="26" spans="1:10" ht="12.75">
      <c r="A26" s="152" t="s">
        <v>243</v>
      </c>
      <c r="B26" s="153"/>
      <c r="C26" s="153"/>
      <c r="D26" s="153"/>
      <c r="E26" s="154"/>
      <c r="F26" s="62">
        <v>0</v>
      </c>
      <c r="G26" s="65"/>
      <c r="H26" s="65"/>
      <c r="I26" s="62">
        <f t="shared" si="0"/>
        <v>0</v>
      </c>
      <c r="J26" s="30"/>
    </row>
    <row r="27" spans="1:10" ht="12.75">
      <c r="A27" s="155" t="s">
        <v>256</v>
      </c>
      <c r="B27" s="156"/>
      <c r="C27" s="156"/>
      <c r="D27" s="156"/>
      <c r="E27" s="157"/>
      <c r="F27" s="63"/>
      <c r="G27" s="66"/>
      <c r="H27" s="66"/>
      <c r="I27" s="67">
        <f>SUM(I21:I26)</f>
        <v>0</v>
      </c>
      <c r="J27" s="31"/>
    </row>
    <row r="28" spans="1:9" ht="12.75">
      <c r="A28" s="58"/>
      <c r="B28" s="58"/>
      <c r="C28" s="58"/>
      <c r="D28" s="58"/>
      <c r="E28" s="58"/>
      <c r="F28" s="58"/>
      <c r="G28" s="58"/>
      <c r="H28" s="58"/>
      <c r="I28" s="58"/>
    </row>
    <row r="29" spans="1:10" ht="15" customHeight="1">
      <c r="A29" s="158" t="s">
        <v>257</v>
      </c>
      <c r="B29" s="159"/>
      <c r="C29" s="159"/>
      <c r="D29" s="159"/>
      <c r="E29" s="160"/>
      <c r="F29" s="161">
        <f>I18+I27</f>
        <v>0</v>
      </c>
      <c r="G29" s="162"/>
      <c r="H29" s="162"/>
      <c r="I29" s="163"/>
      <c r="J29" s="31"/>
    </row>
    <row r="30" spans="1:9" ht="12.75">
      <c r="A30" s="49"/>
      <c r="B30" s="49"/>
      <c r="C30" s="49"/>
      <c r="D30" s="49"/>
      <c r="E30" s="49"/>
      <c r="F30" s="49"/>
      <c r="G30" s="49"/>
      <c r="H30" s="49"/>
      <c r="I30" s="49"/>
    </row>
    <row r="33" spans="1:9" ht="15" customHeight="1">
      <c r="A33" s="164" t="s">
        <v>258</v>
      </c>
      <c r="B33" s="165"/>
      <c r="C33" s="165"/>
      <c r="D33" s="165"/>
      <c r="E33" s="165"/>
      <c r="F33" s="59"/>
      <c r="G33" s="59"/>
      <c r="H33" s="59"/>
      <c r="I33" s="59"/>
    </row>
    <row r="34" spans="1:10" ht="12.75">
      <c r="A34" s="166" t="s">
        <v>259</v>
      </c>
      <c r="B34" s="167"/>
      <c r="C34" s="167"/>
      <c r="D34" s="167"/>
      <c r="E34" s="168"/>
      <c r="F34" s="60" t="s">
        <v>264</v>
      </c>
      <c r="G34" s="60" t="s">
        <v>168</v>
      </c>
      <c r="H34" s="60" t="s">
        <v>265</v>
      </c>
      <c r="I34" s="60" t="s">
        <v>264</v>
      </c>
      <c r="J34" s="31"/>
    </row>
    <row r="35" spans="1:10" ht="12.75">
      <c r="A35" s="149" t="s">
        <v>260</v>
      </c>
      <c r="B35" s="150"/>
      <c r="C35" s="150"/>
      <c r="D35" s="150"/>
      <c r="E35" s="151"/>
      <c r="F35" s="61">
        <v>0</v>
      </c>
      <c r="G35" s="64"/>
      <c r="H35" s="64"/>
      <c r="I35" s="61">
        <f>F35</f>
        <v>0</v>
      </c>
      <c r="J35" s="30"/>
    </row>
    <row r="36" spans="1:10" ht="12.75">
      <c r="A36" s="152" t="s">
        <v>261</v>
      </c>
      <c r="B36" s="153"/>
      <c r="C36" s="153"/>
      <c r="D36" s="153"/>
      <c r="E36" s="154"/>
      <c r="F36" s="62">
        <v>0</v>
      </c>
      <c r="G36" s="65"/>
      <c r="H36" s="65"/>
      <c r="I36" s="62">
        <f>F36</f>
        <v>0</v>
      </c>
      <c r="J36" s="30"/>
    </row>
    <row r="37" spans="1:10" ht="12.75">
      <c r="A37" s="155" t="s">
        <v>262</v>
      </c>
      <c r="B37" s="156"/>
      <c r="C37" s="156"/>
      <c r="D37" s="156"/>
      <c r="E37" s="157"/>
      <c r="F37" s="63"/>
      <c r="G37" s="66"/>
      <c r="H37" s="66"/>
      <c r="I37" s="67">
        <f>SUM(I35:I36)</f>
        <v>0</v>
      </c>
      <c r="J37" s="31"/>
    </row>
    <row r="38" spans="1:9" ht="12.75">
      <c r="A38" s="49"/>
      <c r="B38" s="49"/>
      <c r="C38" s="49"/>
      <c r="D38" s="49"/>
      <c r="E38" s="49"/>
      <c r="F38" s="49"/>
      <c r="G38" s="49"/>
      <c r="H38" s="49"/>
      <c r="I38" s="49"/>
    </row>
  </sheetData>
  <sheetProtection/>
  <mergeCells count="52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35:E35"/>
    <mergeCell ref="A36:E36"/>
    <mergeCell ref="A37:E37"/>
    <mergeCell ref="A26:E26"/>
    <mergeCell ref="A27:E27"/>
    <mergeCell ref="A29:E2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Váňa</dc:creator>
  <cp:keywords/>
  <dc:description/>
  <cp:lastModifiedBy>Pavel Caha</cp:lastModifiedBy>
  <dcterms:created xsi:type="dcterms:W3CDTF">2019-10-18T09:00:04Z</dcterms:created>
  <dcterms:modified xsi:type="dcterms:W3CDTF">2020-11-23T11:31:00Z</dcterms:modified>
  <cp:category/>
  <cp:version/>
  <cp:contentType/>
  <cp:contentStatus/>
</cp:coreProperties>
</file>