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</workbook>
</file>

<file path=xl/calcChain.xml><?xml version="1.0" encoding="utf-8"?>
<calcChain xmlns="http://schemas.openxmlformats.org/spreadsheetml/2006/main">
  <c r="E26" i="1" l="1"/>
  <c r="E24" i="1"/>
  <c r="AC45" i="12"/>
  <c r="F39" i="1" s="1"/>
  <c r="AD45" i="12"/>
  <c r="G39" i="1" s="1"/>
  <c r="G8" i="12"/>
  <c r="G45" i="12" s="1"/>
  <c r="O8" i="12"/>
  <c r="I9" i="12"/>
  <c r="I8" i="12" s="1"/>
  <c r="G49" i="1" s="1"/>
  <c r="K9" i="12"/>
  <c r="K8" i="12" s="1"/>
  <c r="H49" i="1" s="1"/>
  <c r="M9" i="12"/>
  <c r="M8" i="12" s="1"/>
  <c r="O9" i="12"/>
  <c r="Q9" i="12"/>
  <c r="Q8" i="12" s="1"/>
  <c r="U9" i="12"/>
  <c r="U8" i="12" s="1"/>
  <c r="G10" i="12"/>
  <c r="K10" i="12"/>
  <c r="H50" i="1" s="1"/>
  <c r="I11" i="12"/>
  <c r="I10" i="12"/>
  <c r="G50" i="1" s="1"/>
  <c r="K11" i="12"/>
  <c r="M11" i="12"/>
  <c r="M10" i="12" s="1"/>
  <c r="O11" i="12"/>
  <c r="O10" i="12" s="1"/>
  <c r="Q11" i="12"/>
  <c r="Q10" i="12" s="1"/>
  <c r="U11" i="12"/>
  <c r="U10" i="12" s="1"/>
  <c r="I13" i="12"/>
  <c r="I12" i="12" s="1"/>
  <c r="G51" i="1" s="1"/>
  <c r="K13" i="12"/>
  <c r="M13" i="12"/>
  <c r="O13" i="12"/>
  <c r="O12" i="12" s="1"/>
  <c r="Q13" i="12"/>
  <c r="Q12" i="12" s="1"/>
  <c r="U13" i="12"/>
  <c r="G12" i="12"/>
  <c r="I14" i="12"/>
  <c r="K14" i="12"/>
  <c r="K12" i="12" s="1"/>
  <c r="H51" i="1" s="1"/>
  <c r="O14" i="12"/>
  <c r="Q14" i="12"/>
  <c r="U14" i="12"/>
  <c r="I15" i="12"/>
  <c r="K15" i="12"/>
  <c r="M15" i="12"/>
  <c r="O15" i="12"/>
  <c r="Q15" i="12"/>
  <c r="U15" i="12"/>
  <c r="M16" i="12"/>
  <c r="I16" i="12"/>
  <c r="K16" i="12"/>
  <c r="O16" i="12"/>
  <c r="Q16" i="12"/>
  <c r="U16" i="12"/>
  <c r="U12" i="12" s="1"/>
  <c r="G17" i="12"/>
  <c r="I18" i="12"/>
  <c r="K18" i="12"/>
  <c r="O18" i="12"/>
  <c r="O17" i="12" s="1"/>
  <c r="Q18" i="12"/>
  <c r="U18" i="12"/>
  <c r="U17" i="12" s="1"/>
  <c r="I19" i="12"/>
  <c r="I17" i="12" s="1"/>
  <c r="G52" i="1" s="1"/>
  <c r="K19" i="12"/>
  <c r="K17" i="12" s="1"/>
  <c r="H52" i="1" s="1"/>
  <c r="M19" i="12"/>
  <c r="O19" i="12"/>
  <c r="Q19" i="12"/>
  <c r="U19" i="12"/>
  <c r="M20" i="12"/>
  <c r="I20" i="12"/>
  <c r="K20" i="12"/>
  <c r="O20" i="12"/>
  <c r="Q20" i="12"/>
  <c r="U20" i="12"/>
  <c r="I21" i="12"/>
  <c r="K21" i="12"/>
  <c r="M21" i="12"/>
  <c r="O21" i="12"/>
  <c r="Q21" i="12"/>
  <c r="Q17" i="12" s="1"/>
  <c r="U21" i="12"/>
  <c r="M22" i="12"/>
  <c r="I22" i="12"/>
  <c r="K22" i="12"/>
  <c r="O22" i="12"/>
  <c r="Q22" i="12"/>
  <c r="U22" i="12"/>
  <c r="I23" i="12"/>
  <c r="K23" i="12"/>
  <c r="M23" i="12"/>
  <c r="O23" i="12"/>
  <c r="Q23" i="12"/>
  <c r="U23" i="12"/>
  <c r="M24" i="12"/>
  <c r="I24" i="12"/>
  <c r="K24" i="12"/>
  <c r="O24" i="12"/>
  <c r="Q24" i="12"/>
  <c r="U24" i="12"/>
  <c r="I25" i="12"/>
  <c r="K25" i="12"/>
  <c r="M25" i="12"/>
  <c r="O25" i="12"/>
  <c r="Q25" i="12"/>
  <c r="U25" i="12"/>
  <c r="M26" i="12"/>
  <c r="I26" i="12"/>
  <c r="K26" i="12"/>
  <c r="O26" i="12"/>
  <c r="Q26" i="12"/>
  <c r="U26" i="12"/>
  <c r="I27" i="12"/>
  <c r="K27" i="12"/>
  <c r="M27" i="12"/>
  <c r="O27" i="12"/>
  <c r="Q27" i="12"/>
  <c r="U27" i="12"/>
  <c r="M28" i="12"/>
  <c r="I28" i="12"/>
  <c r="K28" i="12"/>
  <c r="O28" i="12"/>
  <c r="Q28" i="12"/>
  <c r="U28" i="12"/>
  <c r="I29" i="12"/>
  <c r="K29" i="12"/>
  <c r="M29" i="12"/>
  <c r="O29" i="12"/>
  <c r="Q29" i="12"/>
  <c r="U29" i="12"/>
  <c r="M30" i="12"/>
  <c r="I30" i="12"/>
  <c r="K30" i="12"/>
  <c r="O30" i="12"/>
  <c r="Q30" i="12"/>
  <c r="U30" i="12"/>
  <c r="I31" i="12"/>
  <c r="K31" i="12"/>
  <c r="M31" i="12"/>
  <c r="O31" i="12"/>
  <c r="Q31" i="12"/>
  <c r="U31" i="12"/>
  <c r="M32" i="12"/>
  <c r="I32" i="12"/>
  <c r="K32" i="12"/>
  <c r="O32" i="12"/>
  <c r="Q32" i="12"/>
  <c r="U32" i="12"/>
  <c r="I33" i="12"/>
  <c r="K33" i="12"/>
  <c r="M33" i="12"/>
  <c r="O33" i="12"/>
  <c r="Q33" i="12"/>
  <c r="U33" i="12"/>
  <c r="M34" i="12"/>
  <c r="I34" i="12"/>
  <c r="K34" i="12"/>
  <c r="O34" i="12"/>
  <c r="Q34" i="12"/>
  <c r="U34" i="12"/>
  <c r="I35" i="12"/>
  <c r="K35" i="12"/>
  <c r="M35" i="12"/>
  <c r="O35" i="12"/>
  <c r="Q35" i="12"/>
  <c r="U35" i="12"/>
  <c r="M36" i="12"/>
  <c r="I36" i="12"/>
  <c r="K36" i="12"/>
  <c r="O36" i="12"/>
  <c r="Q36" i="12"/>
  <c r="U36" i="12"/>
  <c r="I37" i="12"/>
  <c r="G53" i="1" s="1"/>
  <c r="G37" i="12"/>
  <c r="I38" i="12"/>
  <c r="K38" i="12"/>
  <c r="K37" i="12" s="1"/>
  <c r="H53" i="1" s="1"/>
  <c r="O38" i="12"/>
  <c r="O37" i="12"/>
  <c r="Q38" i="12"/>
  <c r="Q37" i="12" s="1"/>
  <c r="U38" i="12"/>
  <c r="U37" i="12" s="1"/>
  <c r="G39" i="12"/>
  <c r="I40" i="12"/>
  <c r="I39" i="12" s="1"/>
  <c r="G54" i="1" s="1"/>
  <c r="K40" i="12"/>
  <c r="K39" i="12" s="1"/>
  <c r="H54" i="1" s="1"/>
  <c r="O40" i="12"/>
  <c r="Q40" i="12"/>
  <c r="Q39" i="12" s="1"/>
  <c r="U40" i="12"/>
  <c r="I41" i="12"/>
  <c r="K41" i="12"/>
  <c r="M41" i="12"/>
  <c r="O41" i="12"/>
  <c r="O39" i="12" s="1"/>
  <c r="Q41" i="12"/>
  <c r="U41" i="12"/>
  <c r="U39" i="12" s="1"/>
  <c r="G42" i="12"/>
  <c r="K42" i="12"/>
  <c r="H55" i="1" s="1"/>
  <c r="G19" i="1" s="1"/>
  <c r="I43" i="12"/>
  <c r="I42" i="12" s="1"/>
  <c r="G55" i="1" s="1"/>
  <c r="E19" i="1" s="1"/>
  <c r="K43" i="12"/>
  <c r="M43" i="12"/>
  <c r="M42" i="12"/>
  <c r="O43" i="12"/>
  <c r="O42" i="12" s="1"/>
  <c r="Q43" i="12"/>
  <c r="Q42" i="12"/>
  <c r="U43" i="12"/>
  <c r="U42" i="12" s="1"/>
  <c r="I20" i="1"/>
  <c r="G20" i="1"/>
  <c r="E20" i="1"/>
  <c r="I19" i="1"/>
  <c r="I21" i="1" s="1"/>
  <c r="I18" i="1"/>
  <c r="G18" i="1"/>
  <c r="E18" i="1"/>
  <c r="I17" i="1"/>
  <c r="I16" i="1"/>
  <c r="I56" i="1"/>
  <c r="AZ43" i="1"/>
  <c r="G27" i="1"/>
  <c r="F40" i="1"/>
  <c r="G23" i="1" s="1"/>
  <c r="G40" i="1"/>
  <c r="G26" i="1"/>
  <c r="H40" i="1"/>
  <c r="I40" i="1"/>
  <c r="J40" i="1"/>
  <c r="J39" i="1"/>
  <c r="J28" i="1"/>
  <c r="J26" i="1"/>
  <c r="G38" i="1"/>
  <c r="F38" i="1"/>
  <c r="H32" i="1"/>
  <c r="J23" i="1"/>
  <c r="J24" i="1"/>
  <c r="J25" i="1"/>
  <c r="J27" i="1"/>
  <c r="G28" i="1"/>
  <c r="M40" i="12"/>
  <c r="M39" i="12" s="1"/>
  <c r="M38" i="12"/>
  <c r="M37" i="12"/>
  <c r="M18" i="12"/>
  <c r="M17" i="12" s="1"/>
  <c r="M14" i="12"/>
  <c r="M12" i="12"/>
  <c r="G56" i="1" l="1"/>
  <c r="E16" i="1"/>
  <c r="E17" i="1"/>
  <c r="G16" i="1"/>
  <c r="H56" i="1"/>
  <c r="H39" i="1"/>
  <c r="I39" i="1"/>
  <c r="G29" i="1"/>
  <c r="G24" i="1"/>
  <c r="G17" i="1"/>
  <c r="G21" i="1" l="1"/>
  <c r="E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<sst xmlns="http://schemas.openxmlformats.org/spreadsheetml/2006/main" count="299" uniqueCount="177">
  <si>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</si>
  <si>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</si>
  <si>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</si>
  <si>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</si>
  <si>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</si>
  <si>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</si>
  <si>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</si>
  <si>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</si>
  <si>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</si>
  <si>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</si>
  <si>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</si>
  <si>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</si>
  <si>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</si>
  <si>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</si>
  <si>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</si>
  <si>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</si>
  <si>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</si>
  <si>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</si>
  <si>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</si>
  <si>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</si>
  <si>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</si>
  <si>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</si>
  <si>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</si>
  <si>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</si>
  <si>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</si>
  <si>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</si>
  <si>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</si>
  <si>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</si>
  <si>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</si>
  <si>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</si>
  <si>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</si>
  <si>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</si>
  <si>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</si>
  <si>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</si>
  <si>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</si>
  <si>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</si>
  <si>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</si>
  <si>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</si>
  <si>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</si>
  <si>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</si>
  <si>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</si>
  <si>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</si>
  <si>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</si>
  <si>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</si>
  <si>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</si>
  <si>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</si>
  <si>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</si>
  <si>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</si>
  <si>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</si>
  <si>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</si>
  <si>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</si>
  <si>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</si>
  <si>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</si>
  <si>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</si>
  <si>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</si>
  <si>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</si>
  <si>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</si>
  <si>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</si>
  <si>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</si>
  <si>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</si>
  <si>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</si>
  <si>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</si>
  <si>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</si>
  <si>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D1.4.2 Plynová odběrná zařízení, I. etapa</t>
  </si>
  <si>
    <t>Rekapitulace dílů</t>
  </si>
  <si>
    <t>Typ dílu</t>
  </si>
  <si>
    <t>3</t>
  </si>
  <si>
    <t>Svislé a kompletní konstrukce</t>
  </si>
  <si>
    <t>4</t>
  </si>
  <si>
    <t>Vodorovné konstrukce</t>
  </si>
  <si>
    <t>97</t>
  </si>
  <si>
    <t>Prorážení otvorů</t>
  </si>
  <si>
    <t>723</t>
  </si>
  <si>
    <t>Vnitřní plynovod</t>
  </si>
  <si>
    <t>767</t>
  </si>
  <si>
    <t>Konstrukce zámečnické</t>
  </si>
  <si>
    <t>783</t>
  </si>
  <si>
    <t>Nátěry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</si>
  <si>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</si>
  <si>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</si>
  <si>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</si>
  <si>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</si>
  <si>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</si>
  <si>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</si>
  <si>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</si>
  <si>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</si>
  <si>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</si>
  <si>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</si>
  <si>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</si>
  <si>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</si>
  <si>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</si>
  <si>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</si>
  <si>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</si>
  <si>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</si>
  <si>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</si>
  <si>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</si>
  <si>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</si>
  <si>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</si>
  <si>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</si>
  <si>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</si>
  <si>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</si>
  <si>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</si>
  <si>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</si>
  <si>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</si>
  <si>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</si>
  <si>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</si>
  <si>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</si>
  <si>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</si>
  <si>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</si>
  <si>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340235211R00</t>
  </si>
  <si>
    <t>Zazdívka otvorů 0,0225 m2 cihlami, tl.zdi do 10cm</t>
  </si>
  <si>
    <t>kus</t>
  </si>
  <si>
    <t>POL1_0</t>
  </si>
  <si>
    <t>411387531R00</t>
  </si>
  <si>
    <t>Zabetonování otvorů 0,0225 m2 ve stropech a, klenbách</t>
  </si>
  <si>
    <t>970051080R00</t>
  </si>
  <si>
    <t>Vrtání jádrové do ŽB do D 80 mm</t>
  </si>
  <si>
    <t>m</t>
  </si>
  <si>
    <t>971033131R00</t>
  </si>
  <si>
    <t>Vybourání otvorů zeď cihel. d=6 cm, tl. 15 cm, MVC</t>
  </si>
  <si>
    <t>979011211R00</t>
  </si>
  <si>
    <t>Svislá doprava suti a vybour. hmot za 2.NP nošením</t>
  </si>
  <si>
    <t>t</t>
  </si>
  <si>
    <t>979981104R00</t>
  </si>
  <si>
    <t>Kontejner, suť bez příměsí, odvoz a likvidace, 9 t</t>
  </si>
  <si>
    <t>723120805R00</t>
  </si>
  <si>
    <t>Demontáž potrubí svařovaného závitového DN 25-50</t>
  </si>
  <si>
    <t>723120809R00</t>
  </si>
  <si>
    <t>Demontáž potrubí svařovaného závitového DN 50-80</t>
  </si>
  <si>
    <t>723290821R00</t>
  </si>
  <si>
    <t>Přesun vybouraných hmot - plynovody, H do 6 m</t>
  </si>
  <si>
    <t>723150314R00</t>
  </si>
  <si>
    <t>Potrubí ocelové hladké černé svařované D 89x3,6</t>
  </si>
  <si>
    <t>723150313R00</t>
  </si>
  <si>
    <t>Potrubí ocelové hladké černé svařované D 76x3,2</t>
  </si>
  <si>
    <t>723150312R00</t>
  </si>
  <si>
    <t>Potrubí ocelové hladké černé svařované D 57x2,9</t>
  </si>
  <si>
    <t>723120206R00</t>
  </si>
  <si>
    <t>Potrubí ocelové závitové černé svařované DN 40</t>
  </si>
  <si>
    <t>723120205R00</t>
  </si>
  <si>
    <t>Potrubí ocelové závitové černé svařované DN 32</t>
  </si>
  <si>
    <t>723120204R00</t>
  </si>
  <si>
    <t>Potrubí ocelové závitové černé svařované DN 25</t>
  </si>
  <si>
    <t>723150365R00</t>
  </si>
  <si>
    <t>Potrubí ocel. černé svařované - chráničky D 38/2,6</t>
  </si>
  <si>
    <t>723150366R00</t>
  </si>
  <si>
    <t>Potrubí ocel. černé svařované-chráničky D 44,5/2,6</t>
  </si>
  <si>
    <t>723150367R00</t>
  </si>
  <si>
    <t>Potrubí ocel. černé svařované - chráničky D 57/2,9</t>
  </si>
  <si>
    <t>723235218R00</t>
  </si>
  <si>
    <t>Kohout kulový, vnitř.-vnitř.z., DN 50, +60°C, PN 5, páka</t>
  </si>
  <si>
    <t>40562964R</t>
  </si>
  <si>
    <t>Ventil elektromag.,DN 65, pro topné plyny, přímoči, (230 V, 50 Hz, PN 16, IP 54, bez proudu uzavřen)</t>
  </si>
  <si>
    <t>POL3_0</t>
  </si>
  <si>
    <t>723219103R00</t>
  </si>
  <si>
    <t>Montáž armatury přírubové plynovodní, DN 65</t>
  </si>
  <si>
    <t>723190901R00</t>
  </si>
  <si>
    <t>Uzavření nebo otevření plynového potrubí</t>
  </si>
  <si>
    <t>723190907R00</t>
  </si>
  <si>
    <t>Odvzdušnění a napuštění plynového potrubí</t>
  </si>
  <si>
    <t>723190909R00</t>
  </si>
  <si>
    <t>Zkouška tlaková  plynového potrubí</t>
  </si>
  <si>
    <t>998723101R00</t>
  </si>
  <si>
    <t>Přesun hmot pro vnitřní plynovod, výšky do 6 m</t>
  </si>
  <si>
    <t>767995104R00</t>
  </si>
  <si>
    <t>Výroba a montáž kov. závěsných konstr. do 50 kg</t>
  </si>
  <si>
    <t>kg</t>
  </si>
  <si>
    <t>783424140R00</t>
  </si>
  <si>
    <t>Nátěr syntetický potrubí do DN 50 mm  Z + 2x</t>
  </si>
  <si>
    <t>783425150R00</t>
  </si>
  <si>
    <t>Nátěr syntetický potrubí do DN 100 mm  Z + 2x</t>
  </si>
  <si>
    <t>1</t>
  </si>
  <si>
    <t>Vedlejší rozpočtové náklady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</si>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</sst>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2" fontId="9" fillId="3" borderId="20" xfId="0" applyNumberFormat="1" applyFont="1" applyFill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 indent="1"/>
    </xf>
    <xf numFmtId="4" fontId="8" fillId="0" borderId="17" xfId="0" applyNumberFormat="1" applyFont="1" applyBorder="1" applyAlignment="1">
      <alignment horizontal="right" vertical="center" indent="1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/>
    </xf>
    <xf numFmtId="4" fontId="2" fillId="5" borderId="35" xfId="0" applyNumberFormat="1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1" fontId="6" fillId="0" borderId="10" xfId="0" applyNumberFormat="1" applyFont="1" applyBorder="1" applyAlignment="1">
      <alignment horizontal="right" indent="1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" fontId="2" fillId="0" borderId="34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vertical="center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0" fillId="0" borderId="0" xfId="0" applyNumberFormat="1" applyAlignment="1">
      <alignment wrapText="1"/>
    </xf>
    <xf numFmtId="0" fontId="12" fillId="3" borderId="3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0" t="s">
        <v>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G26" sqref="G26:I26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25" t="s">
        <v>3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3">
      <c r="A2" s="4"/>
      <c r="B2" s="5" t="s">
        <v>4</v>
      </c>
      <c r="C2" s="6"/>
      <c r="D2" s="228" t="s">
        <v>5</v>
      </c>
      <c r="E2" s="229"/>
      <c r="F2" s="229"/>
      <c r="G2" s="229"/>
      <c r="H2" s="229"/>
      <c r="I2" s="229"/>
      <c r="J2" s="230"/>
      <c r="O2" s="7"/>
    </row>
    <row r="3" spans="1:15" ht="23.25" customHeight="1" x14ac:dyDescent="0.3">
      <c r="A3" s="4"/>
      <c r="B3" s="8" t="s">
        <v>6</v>
      </c>
      <c r="C3" s="9"/>
      <c r="D3" s="205" t="s">
        <v>7</v>
      </c>
      <c r="E3" s="206"/>
      <c r="F3" s="206"/>
      <c r="G3" s="206"/>
      <c r="H3" s="206"/>
      <c r="I3" s="206"/>
      <c r="J3" s="207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31" t="s">
        <v>20</v>
      </c>
      <c r="E11" s="231"/>
      <c r="F11" s="231"/>
      <c r="G11" s="231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03" t="s">
        <v>22</v>
      </c>
      <c r="E12" s="203"/>
      <c r="F12" s="203"/>
      <c r="G12" s="203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04" t="s">
        <v>25</v>
      </c>
      <c r="E13" s="204"/>
      <c r="F13" s="204"/>
      <c r="G13" s="204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34" t="s">
        <v>29</v>
      </c>
      <c r="F15" s="234"/>
      <c r="G15" s="232" t="s">
        <v>30</v>
      </c>
      <c r="H15" s="232"/>
      <c r="I15" s="232" t="s">
        <v>31</v>
      </c>
      <c r="J15" s="233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15">
        <f>SUMIF(F49:F55,A16,G49:G55)+SUMIF(F49:F55,"PSU",G49:G55)</f>
        <v>6379.7900000000009</v>
      </c>
      <c r="F16" s="216"/>
      <c r="G16" s="215">
        <f>SUMIF(F49:F55,A16,H49:H55)+SUMIF(F49:F55,"PSU",H49:H55)</f>
        <v>5245.12</v>
      </c>
      <c r="H16" s="216"/>
      <c r="I16" s="215">
        <f>SUMIF(F49:F55,A16,I49:I55)+SUMIF(F49:F55,"PSU",I49:I55)</f>
        <v>0</v>
      </c>
      <c r="J16" s="217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15">
        <f>SUMIF(F49:F55,A17,G49:G55)</f>
        <v>33952.53</v>
      </c>
      <c r="F17" s="216"/>
      <c r="G17" s="215">
        <f>SUMIF(F49:F55,A17,H49:H55)</f>
        <v>45428.53</v>
      </c>
      <c r="H17" s="216"/>
      <c r="I17" s="215">
        <f>SUMIF(F49:F55,A17,I49:I55)</f>
        <v>0</v>
      </c>
      <c r="J17" s="217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15">
        <f>SUMIF(F49:F55,A18,G49:G55)</f>
        <v>0</v>
      </c>
      <c r="F18" s="216"/>
      <c r="G18" s="215">
        <f>SUMIF(F49:F55,A18,H49:H55)</f>
        <v>0</v>
      </c>
      <c r="H18" s="216"/>
      <c r="I18" s="215">
        <f>SUMIF(F49:F55,A18,I49:I55)</f>
        <v>0</v>
      </c>
      <c r="J18" s="217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15">
        <f>SUMIF(F49:F55,A19,G49:G55)</f>
        <v>0</v>
      </c>
      <c r="F19" s="216"/>
      <c r="G19" s="215">
        <f>SUMIF(F49:F55,A19,H49:H55)</f>
        <v>9100.7999999999993</v>
      </c>
      <c r="H19" s="216"/>
      <c r="I19" s="215">
        <f>SUMIF(F49:F55,A19,I49:I55)</f>
        <v>0</v>
      </c>
      <c r="J19" s="217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15">
        <f>SUMIF(F49:F55,A20,G49:G55)</f>
        <v>0</v>
      </c>
      <c r="F20" s="216"/>
      <c r="G20" s="215">
        <f>SUMIF(F49:F55,A20,H49:H55)</f>
        <v>0</v>
      </c>
      <c r="H20" s="216"/>
      <c r="I20" s="215">
        <f>SUMIF(F49:F55,A20,I49:I55)</f>
        <v>0</v>
      </c>
      <c r="J20" s="217"/>
    </row>
    <row r="21" spans="1:10" ht="23.25" customHeight="1" x14ac:dyDescent="0.3">
      <c r="A21" s="4"/>
      <c r="B21" s="52" t="s">
        <v>31</v>
      </c>
      <c r="C21" s="53"/>
      <c r="D21" s="54"/>
      <c r="E21" s="218">
        <f>SUM(E16:F20)</f>
        <v>40332.32</v>
      </c>
      <c r="F21" s="219"/>
      <c r="G21" s="218">
        <f>SUM(G16:H20)</f>
        <v>59774.45</v>
      </c>
      <c r="H21" s="219"/>
      <c r="I21" s="218">
        <f>SUM(I16:J20)</f>
        <v>0</v>
      </c>
      <c r="J21" s="220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08">
        <f>ZakladDPHSniVypocet</f>
        <v>0</v>
      </c>
      <c r="H23" s="209"/>
      <c r="I23" s="209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10">
        <f>ZakladDPHSni*SazbaDPH1/100</f>
        <v>0</v>
      </c>
      <c r="H24" s="211"/>
      <c r="I24" s="211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08">
        <v>100106.34</v>
      </c>
      <c r="H25" s="209"/>
      <c r="I25" s="209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12">
        <f>ZakladDPHZakl*SazbaDPH2/100</f>
        <v>21022.331400000003</v>
      </c>
      <c r="H26" s="213"/>
      <c r="I26" s="213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14">
        <f>0</f>
        <v>0</v>
      </c>
      <c r="H27" s="214"/>
      <c r="I27" s="214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01">
        <f>ZakladDPHSniVypocet+ZakladDPHZaklVypocet</f>
        <v>0</v>
      </c>
      <c r="H28" s="201"/>
      <c r="I28" s="201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02">
        <f>ZakladDPHSni+DPHSni+ZakladDPHZakl+DPHZakl+Zaokrouhleni</f>
        <v>121128.67139999999</v>
      </c>
      <c r="H29" s="202"/>
      <c r="I29" s="202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 t="s">
        <v>50</v>
      </c>
      <c r="E32" s="83"/>
      <c r="F32" s="82" t="s">
        <v>51</v>
      </c>
      <c r="G32" s="83"/>
      <c r="H32" s="84">
        <f ca="1">TODAY()</f>
        <v>44309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41" t="s">
        <v>52</v>
      </c>
      <c r="E35" s="241"/>
      <c r="F35" s="17"/>
      <c r="G35" s="30"/>
      <c r="H35" s="90" t="s">
        <v>53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54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55</v>
      </c>
      <c r="B38" s="99" t="s">
        <v>56</v>
      </c>
      <c r="C38" s="100" t="s">
        <v>57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58</v>
      </c>
      <c r="I38" s="103" t="s">
        <v>59</v>
      </c>
      <c r="J38" s="104" t="s">
        <v>41</v>
      </c>
    </row>
    <row r="39" spans="1:52" ht="25.5" hidden="1" customHeight="1" x14ac:dyDescent="0.3">
      <c r="A39" s="98">
        <v>0</v>
      </c>
      <c r="B39" s="105" t="s">
        <v>60</v>
      </c>
      <c r="C39" s="242" t="s">
        <v>5</v>
      </c>
      <c r="D39" s="243"/>
      <c r="E39" s="243"/>
      <c r="F39" s="106">
        <f>'Rozpočet Pol'!AC45</f>
        <v>0</v>
      </c>
      <c r="G39" s="107">
        <f>'Rozpočet Pol'!AD45</f>
        <v>100106.34</v>
      </c>
      <c r="H39" s="108">
        <f>(F39*SazbaDPH1/100)+(G39*SazbaDPH2/100)</f>
        <v>21022.331400000003</v>
      </c>
      <c r="I39" s="108">
        <f>F39+G39+H39</f>
        <v>121128.67139999999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44" t="s">
        <v>61</v>
      </c>
      <c r="C40" s="245"/>
      <c r="D40" s="245"/>
      <c r="E40" s="246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62</v>
      </c>
    </row>
    <row r="43" spans="1:52" ht="14.25" x14ac:dyDescent="0.3">
      <c r="B43" s="247" t="s">
        <v>63</v>
      </c>
      <c r="C43" s="247"/>
      <c r="D43" s="247"/>
      <c r="E43" s="247"/>
      <c r="F43" s="247"/>
      <c r="G43" s="247"/>
      <c r="H43" s="247"/>
      <c r="I43" s="247"/>
      <c r="J43" s="247"/>
      <c r="AZ43" s="113" t="str">
        <f>B43</f>
        <v>D1.4.2 Plynová odběrná zařízení, I. etapa</v>
      </c>
    </row>
    <row r="46" spans="1:52" ht="16.5" x14ac:dyDescent="0.3">
      <c r="B46" s="114" t="s">
        <v>64</v>
      </c>
    </row>
    <row r="48" spans="1:52" ht="25.5" customHeight="1" x14ac:dyDescent="0.3">
      <c r="A48" s="115"/>
      <c r="B48" s="116" t="s">
        <v>56</v>
      </c>
      <c r="C48" s="116" t="s">
        <v>57</v>
      </c>
      <c r="D48" s="117"/>
      <c r="E48" s="117"/>
      <c r="F48" s="118" t="s">
        <v>65</v>
      </c>
      <c r="G48" s="118" t="s">
        <v>29</v>
      </c>
      <c r="H48" s="118" t="s">
        <v>30</v>
      </c>
      <c r="I48" s="248" t="s">
        <v>31</v>
      </c>
      <c r="J48" s="248"/>
    </row>
    <row r="49" spans="1:10" ht="25.5" customHeight="1" x14ac:dyDescent="0.3">
      <c r="A49" s="119"/>
      <c r="B49" s="120" t="s">
        <v>66</v>
      </c>
      <c r="C49" s="239" t="s">
        <v>67</v>
      </c>
      <c r="D49" s="240"/>
      <c r="E49" s="240"/>
      <c r="F49" s="121" t="s">
        <v>32</v>
      </c>
      <c r="G49" s="122">
        <f>'Rozpočet Pol'!I8</f>
        <v>9.14</v>
      </c>
      <c r="H49" s="122">
        <f>'Rozpočet Pol'!K8</f>
        <v>174.92</v>
      </c>
      <c r="I49" s="238"/>
      <c r="J49" s="238"/>
    </row>
    <row r="50" spans="1:10" ht="25.5" customHeight="1" x14ac:dyDescent="0.3">
      <c r="A50" s="119"/>
      <c r="B50" s="123" t="s">
        <v>68</v>
      </c>
      <c r="C50" s="235" t="s">
        <v>69</v>
      </c>
      <c r="D50" s="236"/>
      <c r="E50" s="236"/>
      <c r="F50" s="124" t="s">
        <v>32</v>
      </c>
      <c r="G50" s="125">
        <f>'Rozpočet Pol'!I10</f>
        <v>1690.01</v>
      </c>
      <c r="H50" s="125">
        <f>'Rozpočet Pol'!K10</f>
        <v>3804.57</v>
      </c>
      <c r="I50" s="237"/>
      <c r="J50" s="237"/>
    </row>
    <row r="51" spans="1:10" ht="25.5" customHeight="1" x14ac:dyDescent="0.3">
      <c r="A51" s="119"/>
      <c r="B51" s="123" t="s">
        <v>70</v>
      </c>
      <c r="C51" s="235" t="s">
        <v>71</v>
      </c>
      <c r="D51" s="236"/>
      <c r="E51" s="236"/>
      <c r="F51" s="124" t="s">
        <v>32</v>
      </c>
      <c r="G51" s="125">
        <f>'Rozpočet Pol'!I12</f>
        <v>4680.6400000000003</v>
      </c>
      <c r="H51" s="125">
        <f>'Rozpočet Pol'!K12</f>
        <v>1265.6299999999999</v>
      </c>
      <c r="I51" s="237"/>
      <c r="J51" s="237"/>
    </row>
    <row r="52" spans="1:10" ht="25.5" customHeight="1" x14ac:dyDescent="0.3">
      <c r="A52" s="119"/>
      <c r="B52" s="123" t="s">
        <v>72</v>
      </c>
      <c r="C52" s="235" t="s">
        <v>73</v>
      </c>
      <c r="D52" s="236"/>
      <c r="E52" s="236"/>
      <c r="F52" s="124" t="s">
        <v>33</v>
      </c>
      <c r="G52" s="125">
        <f>'Rozpočet Pol'!I17</f>
        <v>33952.53</v>
      </c>
      <c r="H52" s="125">
        <f>'Rozpočet Pol'!K17</f>
        <v>22875.71</v>
      </c>
      <c r="I52" s="237"/>
      <c r="J52" s="237"/>
    </row>
    <row r="53" spans="1:10" ht="25.5" customHeight="1" x14ac:dyDescent="0.3">
      <c r="A53" s="119"/>
      <c r="B53" s="123" t="s">
        <v>74</v>
      </c>
      <c r="C53" s="235" t="s">
        <v>75</v>
      </c>
      <c r="D53" s="236"/>
      <c r="E53" s="236"/>
      <c r="F53" s="124" t="s">
        <v>33</v>
      </c>
      <c r="G53" s="125">
        <f>'Rozpočet Pol'!I37</f>
        <v>0</v>
      </c>
      <c r="H53" s="125">
        <f>'Rozpočet Pol'!K37</f>
        <v>6399</v>
      </c>
      <c r="I53" s="237"/>
      <c r="J53" s="237"/>
    </row>
    <row r="54" spans="1:10" ht="25.5" customHeight="1" x14ac:dyDescent="0.3">
      <c r="A54" s="119"/>
      <c r="B54" s="123" t="s">
        <v>76</v>
      </c>
      <c r="C54" s="235" t="s">
        <v>77</v>
      </c>
      <c r="D54" s="236"/>
      <c r="E54" s="236"/>
      <c r="F54" s="124" t="s">
        <v>33</v>
      </c>
      <c r="G54" s="125">
        <f>'Rozpočet Pol'!I39</f>
        <v>0</v>
      </c>
      <c r="H54" s="125">
        <f>'Rozpočet Pol'!K39</f>
        <v>16153.82</v>
      </c>
      <c r="I54" s="237"/>
      <c r="J54" s="237"/>
    </row>
    <row r="55" spans="1:10" ht="25.5" customHeight="1" x14ac:dyDescent="0.3">
      <c r="A55" s="119"/>
      <c r="B55" s="126" t="s">
        <v>35</v>
      </c>
      <c r="C55" s="221" t="s">
        <v>36</v>
      </c>
      <c r="D55" s="222"/>
      <c r="E55" s="222"/>
      <c r="F55" s="127" t="s">
        <v>35</v>
      </c>
      <c r="G55" s="128">
        <f>'Rozpočet Pol'!I42</f>
        <v>0</v>
      </c>
      <c r="H55" s="128">
        <f>'Rozpočet Pol'!K42</f>
        <v>9100.7999999999993</v>
      </c>
      <c r="I55" s="223"/>
      <c r="J55" s="223"/>
    </row>
    <row r="56" spans="1:10" ht="25.5" customHeight="1" x14ac:dyDescent="0.3">
      <c r="A56" s="129"/>
      <c r="B56" s="130" t="s">
        <v>59</v>
      </c>
      <c r="C56" s="130"/>
      <c r="D56" s="131"/>
      <c r="E56" s="131"/>
      <c r="F56" s="132"/>
      <c r="G56" s="133">
        <f>SUM(G49:G55)</f>
        <v>40332.32</v>
      </c>
      <c r="H56" s="133">
        <f>SUM(H49:H55)</f>
        <v>59774.45</v>
      </c>
      <c r="I56" s="224">
        <f>SUM(I49:I55)</f>
        <v>0</v>
      </c>
      <c r="J56" s="224"/>
    </row>
    <row r="57" spans="1:10" x14ac:dyDescent="0.3">
      <c r="F57" s="134"/>
      <c r="G57" s="135"/>
      <c r="H57" s="134"/>
      <c r="I57" s="135"/>
      <c r="J57" s="135"/>
    </row>
    <row r="58" spans="1:10" x14ac:dyDescent="0.3">
      <c r="F58" s="134"/>
      <c r="G58" s="135"/>
      <c r="H58" s="134"/>
      <c r="I58" s="135"/>
      <c r="J58" s="135"/>
    </row>
    <row r="59" spans="1:10" x14ac:dyDescent="0.3">
      <c r="F59" s="134"/>
      <c r="G59" s="135"/>
      <c r="H59" s="134"/>
      <c r="I59" s="135"/>
      <c r="J59" s="135"/>
    </row>
  </sheetData>
  <mergeCells count="54">
    <mergeCell ref="D35:E35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C52:E52"/>
    <mergeCell ref="I52:J52"/>
    <mergeCell ref="C53:E53"/>
    <mergeCell ref="I53:J53"/>
    <mergeCell ref="I54:J54"/>
    <mergeCell ref="C54:E54"/>
    <mergeCell ref="C55:E55"/>
    <mergeCell ref="I55:J55"/>
    <mergeCell ref="I56:J56"/>
    <mergeCell ref="B1:J1"/>
    <mergeCell ref="D2:J2"/>
    <mergeCell ref="D11:G11"/>
    <mergeCell ref="I15:J15"/>
    <mergeCell ref="G15:H15"/>
    <mergeCell ref="E15:F15"/>
    <mergeCell ref="I16:J16"/>
    <mergeCell ref="G16:H16"/>
    <mergeCell ref="E16:F16"/>
    <mergeCell ref="I17:J17"/>
    <mergeCell ref="E17:F17"/>
    <mergeCell ref="G17:H17"/>
    <mergeCell ref="E18:F18"/>
    <mergeCell ref="I18:J18"/>
    <mergeCell ref="G18:H18"/>
    <mergeCell ref="E19:F19"/>
    <mergeCell ref="I19:J19"/>
    <mergeCell ref="G19:H19"/>
    <mergeCell ref="G28:I28"/>
    <mergeCell ref="G29:I29"/>
    <mergeCell ref="D12:G12"/>
    <mergeCell ref="D13:G13"/>
    <mergeCell ref="D3:J3"/>
    <mergeCell ref="G23:I23"/>
    <mergeCell ref="G24:I24"/>
    <mergeCell ref="G25:I25"/>
    <mergeCell ref="G26:I26"/>
    <mergeCell ref="G27:I27"/>
    <mergeCell ref="E20:F20"/>
    <mergeCell ref="I20:J20"/>
    <mergeCell ref="G20:H20"/>
    <mergeCell ref="E21:F21"/>
    <mergeCell ref="G21:H21"/>
    <mergeCell ref="I21:J21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49" t="s">
        <v>78</v>
      </c>
      <c r="B1" s="249"/>
      <c r="C1" s="250"/>
      <c r="D1" s="249"/>
      <c r="E1" s="249"/>
      <c r="F1" s="249"/>
      <c r="G1" s="249"/>
    </row>
    <row r="2" spans="1:7" ht="24.95" customHeight="1" x14ac:dyDescent="0.3">
      <c r="A2" s="138" t="s">
        <v>79</v>
      </c>
      <c r="B2" s="139"/>
      <c r="C2" s="251"/>
      <c r="D2" s="251"/>
      <c r="E2" s="251"/>
      <c r="F2" s="251"/>
      <c r="G2" s="252"/>
    </row>
    <row r="3" spans="1:7" ht="24.95" hidden="1" customHeight="1" x14ac:dyDescent="0.3">
      <c r="A3" s="138" t="s">
        <v>80</v>
      </c>
      <c r="B3" s="139"/>
      <c r="C3" s="251"/>
      <c r="D3" s="251"/>
      <c r="E3" s="251"/>
      <c r="F3" s="251"/>
      <c r="G3" s="252"/>
    </row>
    <row r="4" spans="1:7" ht="24.95" hidden="1" customHeight="1" x14ac:dyDescent="0.3">
      <c r="A4" s="138" t="s">
        <v>81</v>
      </c>
      <c r="B4" s="139"/>
      <c r="C4" s="251"/>
      <c r="D4" s="251"/>
      <c r="E4" s="251"/>
      <c r="F4" s="251"/>
      <c r="G4" s="252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5"/>
  <sheetViews>
    <sheetView topLeftCell="A30" workbookViewId="0">
      <selection sqref="A1:G1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2.8320312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5" t="s">
        <v>78</v>
      </c>
      <c r="B1" s="265"/>
      <c r="C1" s="265"/>
      <c r="D1" s="265"/>
      <c r="E1" s="265"/>
      <c r="F1" s="265"/>
      <c r="G1" s="265"/>
      <c r="AE1" t="s">
        <v>82</v>
      </c>
    </row>
    <row r="2" spans="1:60" ht="24.95" customHeight="1" x14ac:dyDescent="0.3">
      <c r="A2" s="144" t="s">
        <v>83</v>
      </c>
      <c r="B2" s="145"/>
      <c r="C2" s="266" t="s">
        <v>5</v>
      </c>
      <c r="D2" s="267"/>
      <c r="E2" s="267"/>
      <c r="F2" s="267"/>
      <c r="G2" s="268"/>
      <c r="AE2" t="s">
        <v>84</v>
      </c>
    </row>
    <row r="3" spans="1:60" ht="24.95" customHeight="1" x14ac:dyDescent="0.3">
      <c r="A3" s="146" t="s">
        <v>80</v>
      </c>
      <c r="B3" s="147"/>
      <c r="C3" s="269" t="s">
        <v>7</v>
      </c>
      <c r="D3" s="270"/>
      <c r="E3" s="270"/>
      <c r="F3" s="270"/>
      <c r="G3" s="271"/>
      <c r="AE3" t="s">
        <v>85</v>
      </c>
    </row>
    <row r="4" spans="1:60" ht="24.95" hidden="1" customHeight="1" x14ac:dyDescent="0.3">
      <c r="A4" s="146" t="s">
        <v>81</v>
      </c>
      <c r="B4" s="147"/>
      <c r="C4" s="269"/>
      <c r="D4" s="270"/>
      <c r="E4" s="270"/>
      <c r="F4" s="270"/>
      <c r="G4" s="271"/>
      <c r="AE4" t="s">
        <v>86</v>
      </c>
    </row>
    <row r="5" spans="1:60" hidden="1" x14ac:dyDescent="0.3">
      <c r="A5" s="148" t="s">
        <v>87</v>
      </c>
      <c r="B5" s="149"/>
      <c r="C5" s="150"/>
      <c r="D5" s="151"/>
      <c r="E5" s="151"/>
      <c r="F5" s="151"/>
      <c r="G5" s="152"/>
      <c r="AE5" t="s">
        <v>88</v>
      </c>
    </row>
    <row r="7" spans="1:60" ht="40.5" x14ac:dyDescent="0.3">
      <c r="A7" s="153" t="s">
        <v>89</v>
      </c>
      <c r="B7" s="154" t="s">
        <v>90</v>
      </c>
      <c r="C7" s="154" t="s">
        <v>91</v>
      </c>
      <c r="D7" s="153" t="s">
        <v>92</v>
      </c>
      <c r="E7" s="153" t="s">
        <v>93</v>
      </c>
      <c r="F7" s="155" t="s">
        <v>94</v>
      </c>
      <c r="G7" s="156" t="s">
        <v>31</v>
      </c>
      <c r="H7" s="157" t="s">
        <v>29</v>
      </c>
      <c r="I7" s="157" t="s">
        <v>95</v>
      </c>
      <c r="J7" s="157" t="s">
        <v>30</v>
      </c>
      <c r="K7" s="157" t="s">
        <v>96</v>
      </c>
      <c r="L7" s="157" t="s">
        <v>97</v>
      </c>
      <c r="M7" s="157" t="s">
        <v>98</v>
      </c>
      <c r="N7" s="157" t="s">
        <v>99</v>
      </c>
      <c r="O7" s="157" t="s">
        <v>100</v>
      </c>
      <c r="P7" s="157" t="s">
        <v>101</v>
      </c>
      <c r="Q7" s="157" t="s">
        <v>102</v>
      </c>
      <c r="R7" s="157" t="s">
        <v>103</v>
      </c>
      <c r="S7" s="157" t="s">
        <v>104</v>
      </c>
      <c r="T7" s="157" t="s">
        <v>105</v>
      </c>
      <c r="U7" s="158" t="s">
        <v>106</v>
      </c>
    </row>
    <row r="8" spans="1:60" x14ac:dyDescent="0.3">
      <c r="A8" s="159" t="s">
        <v>107</v>
      </c>
      <c r="B8" s="160" t="s">
        <v>66</v>
      </c>
      <c r="C8" s="161" t="s">
        <v>67</v>
      </c>
      <c r="D8" s="162"/>
      <c r="E8" s="163"/>
      <c r="F8" s="164"/>
      <c r="G8" s="164">
        <f>SUMIF(AE9,"&lt;&gt;NOR",G9)</f>
        <v>184.06</v>
      </c>
      <c r="H8" s="164"/>
      <c r="I8" s="164">
        <f>SUM(I9)</f>
        <v>9.14</v>
      </c>
      <c r="J8" s="164"/>
      <c r="K8" s="164">
        <f>SUM(K9)</f>
        <v>174.92</v>
      </c>
      <c r="L8" s="164"/>
      <c r="M8" s="164">
        <f>SUM(M9)</f>
        <v>222.71260000000001</v>
      </c>
      <c r="N8" s="165"/>
      <c r="O8" s="165">
        <f>SUM(O9)</f>
        <v>6.8399999999999997E-3</v>
      </c>
      <c r="P8" s="165"/>
      <c r="Q8" s="165">
        <f>SUM(Q9)</f>
        <v>0</v>
      </c>
      <c r="R8" s="165"/>
      <c r="S8" s="165"/>
      <c r="T8" s="159"/>
      <c r="U8" s="165">
        <f>SUM(U9)</f>
        <v>0.36</v>
      </c>
      <c r="AE8" t="s">
        <v>108</v>
      </c>
    </row>
    <row r="9" spans="1:60" ht="22.5" outlineLevel="1" x14ac:dyDescent="0.3">
      <c r="A9" s="166">
        <v>1</v>
      </c>
      <c r="B9" s="167" t="s">
        <v>109</v>
      </c>
      <c r="C9" s="168" t="s">
        <v>110</v>
      </c>
      <c r="D9" s="169" t="s">
        <v>111</v>
      </c>
      <c r="E9" s="170">
        <v>2</v>
      </c>
      <c r="F9" s="171">
        <v>92.03</v>
      </c>
      <c r="G9" s="172">
        <v>184.06</v>
      </c>
      <c r="H9" s="171">
        <v>4.57</v>
      </c>
      <c r="I9" s="172">
        <f>ROUND(E9*H9,2)</f>
        <v>9.14</v>
      </c>
      <c r="J9" s="171">
        <v>87.46</v>
      </c>
      <c r="K9" s="172">
        <f>ROUND(E9*J9,2)</f>
        <v>174.92</v>
      </c>
      <c r="L9" s="172">
        <v>21</v>
      </c>
      <c r="M9" s="172">
        <f>G9*(1+L9/100)</f>
        <v>222.71260000000001</v>
      </c>
      <c r="N9" s="173">
        <v>3.4199999999999999E-3</v>
      </c>
      <c r="O9" s="173">
        <f>ROUND(E9*N9,5)</f>
        <v>6.8399999999999997E-3</v>
      </c>
      <c r="P9" s="173">
        <v>0</v>
      </c>
      <c r="Q9" s="173">
        <f>ROUND(E9*P9,5)</f>
        <v>0</v>
      </c>
      <c r="R9" s="173"/>
      <c r="S9" s="173"/>
      <c r="T9" s="174">
        <v>0.18099999999999999</v>
      </c>
      <c r="U9" s="173">
        <f>ROUND(E9*T9,2)</f>
        <v>0.36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112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x14ac:dyDescent="0.3">
      <c r="A10" s="176" t="s">
        <v>107</v>
      </c>
      <c r="B10" s="177" t="s">
        <v>68</v>
      </c>
      <c r="C10" s="178" t="s">
        <v>69</v>
      </c>
      <c r="D10" s="179"/>
      <c r="E10" s="180"/>
      <c r="F10" s="181"/>
      <c r="G10" s="181">
        <f>SUMIF(AE11,"&lt;&gt;NOR",G11)</f>
        <v>5494.58</v>
      </c>
      <c r="H10" s="181"/>
      <c r="I10" s="181">
        <f>SUM(I11)</f>
        <v>1690.01</v>
      </c>
      <c r="J10" s="181"/>
      <c r="K10" s="181">
        <f>SUM(K11)</f>
        <v>3804.57</v>
      </c>
      <c r="L10" s="181"/>
      <c r="M10" s="181">
        <f>SUM(M11)</f>
        <v>6648.4417999999996</v>
      </c>
      <c r="N10" s="182"/>
      <c r="O10" s="182">
        <f>SUM(O11)</f>
        <v>0.35139999999999999</v>
      </c>
      <c r="P10" s="182"/>
      <c r="Q10" s="182">
        <f>SUM(Q11)</f>
        <v>0</v>
      </c>
      <c r="R10" s="182"/>
      <c r="S10" s="182"/>
      <c r="T10" s="183"/>
      <c r="U10" s="182">
        <f>SUM(U11)</f>
        <v>5.39</v>
      </c>
      <c r="AE10" t="s">
        <v>108</v>
      </c>
    </row>
    <row r="11" spans="1:60" ht="22.5" outlineLevel="1" x14ac:dyDescent="0.3">
      <c r="A11" s="166">
        <v>2</v>
      </c>
      <c r="B11" s="167" t="s">
        <v>113</v>
      </c>
      <c r="C11" s="168" t="s">
        <v>114</v>
      </c>
      <c r="D11" s="169" t="s">
        <v>111</v>
      </c>
      <c r="E11" s="170">
        <v>7</v>
      </c>
      <c r="F11" s="171">
        <v>784.94</v>
      </c>
      <c r="G11" s="172">
        <v>5494.58</v>
      </c>
      <c r="H11" s="171">
        <v>241.43</v>
      </c>
      <c r="I11" s="172">
        <f>ROUND(E11*H11,2)</f>
        <v>1690.01</v>
      </c>
      <c r="J11" s="171">
        <v>543.51</v>
      </c>
      <c r="K11" s="172">
        <f>ROUND(E11*J11,2)</f>
        <v>3804.57</v>
      </c>
      <c r="L11" s="172">
        <v>21</v>
      </c>
      <c r="M11" s="172">
        <f>G11*(1+L11/100)</f>
        <v>6648.4417999999996</v>
      </c>
      <c r="N11" s="173">
        <v>5.0200000000000002E-2</v>
      </c>
      <c r="O11" s="173">
        <f>ROUND(E11*N11,5)</f>
        <v>0.35139999999999999</v>
      </c>
      <c r="P11" s="173">
        <v>0</v>
      </c>
      <c r="Q11" s="173">
        <f>ROUND(E11*P11,5)</f>
        <v>0</v>
      </c>
      <c r="R11" s="173"/>
      <c r="S11" s="173"/>
      <c r="T11" s="174">
        <v>0.77</v>
      </c>
      <c r="U11" s="173">
        <f>ROUND(E11*T11,2)</f>
        <v>5.39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112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x14ac:dyDescent="0.3">
      <c r="A12" s="176" t="s">
        <v>107</v>
      </c>
      <c r="B12" s="177" t="s">
        <v>70</v>
      </c>
      <c r="C12" s="178" t="s">
        <v>71</v>
      </c>
      <c r="D12" s="179"/>
      <c r="E12" s="180"/>
      <c r="F12" s="181"/>
      <c r="G12" s="181">
        <f>SUMIF(AE13:AE16,"&lt;&gt;NOR",G13:G16)</f>
        <v>5945.64</v>
      </c>
      <c r="H12" s="181"/>
      <c r="I12" s="181">
        <f>SUM(I13:I16)</f>
        <v>4680.6400000000003</v>
      </c>
      <c r="J12" s="181"/>
      <c r="K12" s="181">
        <f>SUM(K13:K16)</f>
        <v>1265.6299999999999</v>
      </c>
      <c r="L12" s="181"/>
      <c r="M12" s="181">
        <f>SUM(M13:M16)</f>
        <v>7194.2243999999992</v>
      </c>
      <c r="N12" s="182"/>
      <c r="O12" s="182">
        <f>SUM(O13:O16)</f>
        <v>0</v>
      </c>
      <c r="P12" s="182"/>
      <c r="Q12" s="182">
        <f>SUM(Q13:Q16)</f>
        <v>8.43E-3</v>
      </c>
      <c r="R12" s="182"/>
      <c r="S12" s="182"/>
      <c r="T12" s="183"/>
      <c r="U12" s="182">
        <f>SUM(U13:U16)</f>
        <v>6.1999999999999993</v>
      </c>
      <c r="AE12" t="s">
        <v>108</v>
      </c>
    </row>
    <row r="13" spans="1:60" outlineLevel="1" x14ac:dyDescent="0.3">
      <c r="A13" s="166">
        <v>3</v>
      </c>
      <c r="B13" s="167" t="s">
        <v>115</v>
      </c>
      <c r="C13" s="168" t="s">
        <v>116</v>
      </c>
      <c r="D13" s="169" t="s">
        <v>117</v>
      </c>
      <c r="E13" s="170">
        <v>2.2400000000000002</v>
      </c>
      <c r="F13" s="171">
        <v>2627.86</v>
      </c>
      <c r="G13" s="172">
        <v>5886.41</v>
      </c>
      <c r="H13" s="171">
        <v>2089.5700000000002</v>
      </c>
      <c r="I13" s="172">
        <f>ROUND(E13*H13,2)</f>
        <v>4680.6400000000003</v>
      </c>
      <c r="J13" s="171">
        <v>538.29</v>
      </c>
      <c r="K13" s="172">
        <f>ROUND(E13*J13,2)</f>
        <v>1205.77</v>
      </c>
      <c r="L13" s="172">
        <v>21</v>
      </c>
      <c r="M13" s="172">
        <f>G13*(1+L13/100)</f>
        <v>7122.5560999999998</v>
      </c>
      <c r="N13" s="173">
        <v>0</v>
      </c>
      <c r="O13" s="173">
        <f>ROUND(E13*N13,5)</f>
        <v>0</v>
      </c>
      <c r="P13" s="173">
        <v>2.8700000000000002E-3</v>
      </c>
      <c r="Q13" s="173">
        <f>ROUND(E13*P13,5)</f>
        <v>6.43E-3</v>
      </c>
      <c r="R13" s="173"/>
      <c r="S13" s="173"/>
      <c r="T13" s="174">
        <v>2.7</v>
      </c>
      <c r="U13" s="173">
        <f>ROUND(E13*T13,2)</f>
        <v>6.05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112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ht="22.5" outlineLevel="1" x14ac:dyDescent="0.3">
      <c r="A14" s="166">
        <v>4</v>
      </c>
      <c r="B14" s="167" t="s">
        <v>118</v>
      </c>
      <c r="C14" s="168" t="s">
        <v>119</v>
      </c>
      <c r="D14" s="169" t="s">
        <v>111</v>
      </c>
      <c r="E14" s="170">
        <v>2</v>
      </c>
      <c r="F14" s="171">
        <v>23.78</v>
      </c>
      <c r="G14" s="172">
        <v>47.56</v>
      </c>
      <c r="H14" s="171">
        <v>0</v>
      </c>
      <c r="I14" s="172">
        <f>ROUND(E14*H14,2)</f>
        <v>0</v>
      </c>
      <c r="J14" s="171">
        <v>23.78</v>
      </c>
      <c r="K14" s="172">
        <f>ROUND(E14*J14,2)</f>
        <v>47.56</v>
      </c>
      <c r="L14" s="172">
        <v>21</v>
      </c>
      <c r="M14" s="172">
        <f>G14*(1+L14/100)</f>
        <v>57.547600000000003</v>
      </c>
      <c r="N14" s="173">
        <v>0</v>
      </c>
      <c r="O14" s="173">
        <f>ROUND(E14*N14,5)</f>
        <v>0</v>
      </c>
      <c r="P14" s="173">
        <v>1E-3</v>
      </c>
      <c r="Q14" s="173">
        <f>ROUND(E14*P14,5)</f>
        <v>2E-3</v>
      </c>
      <c r="R14" s="173"/>
      <c r="S14" s="173"/>
      <c r="T14" s="174">
        <v>6.4000000000000001E-2</v>
      </c>
      <c r="U14" s="173">
        <f>ROUND(E14*T14,2)</f>
        <v>0.13</v>
      </c>
      <c r="V14" s="175"/>
      <c r="W14" s="175"/>
      <c r="X14" s="175"/>
      <c r="Y14" s="175"/>
      <c r="Z14" s="175"/>
      <c r="AA14" s="175"/>
      <c r="AB14" s="175"/>
      <c r="AC14" s="175"/>
      <c r="AD14" s="175"/>
      <c r="AE14" s="175" t="s">
        <v>112</v>
      </c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ht="22.5" outlineLevel="1" x14ac:dyDescent="0.3">
      <c r="A15" s="166">
        <v>5</v>
      </c>
      <c r="B15" s="167" t="s">
        <v>120</v>
      </c>
      <c r="C15" s="168" t="s">
        <v>121</v>
      </c>
      <c r="D15" s="169" t="s">
        <v>122</v>
      </c>
      <c r="E15" s="170">
        <v>8.43E-3</v>
      </c>
      <c r="F15" s="171">
        <v>366.31</v>
      </c>
      <c r="G15" s="172">
        <v>2.93</v>
      </c>
      <c r="H15" s="171">
        <v>0</v>
      </c>
      <c r="I15" s="172">
        <f>ROUND(E15*H15,2)</f>
        <v>0</v>
      </c>
      <c r="J15" s="171">
        <v>366.31</v>
      </c>
      <c r="K15" s="172">
        <f>ROUND(E15*J15,2)</f>
        <v>3.09</v>
      </c>
      <c r="L15" s="172">
        <v>21</v>
      </c>
      <c r="M15" s="172">
        <f>G15*(1+L15/100)</f>
        <v>3.5453000000000001</v>
      </c>
      <c r="N15" s="173">
        <v>0</v>
      </c>
      <c r="O15" s="173">
        <f>ROUND(E15*N15,5)</f>
        <v>0</v>
      </c>
      <c r="P15" s="173">
        <v>0</v>
      </c>
      <c r="Q15" s="173">
        <f>ROUND(E15*P15,5)</f>
        <v>0</v>
      </c>
      <c r="R15" s="173"/>
      <c r="S15" s="173"/>
      <c r="T15" s="174">
        <v>2.0089999999999999</v>
      </c>
      <c r="U15" s="173">
        <f>ROUND(E15*T15,2)</f>
        <v>0.02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112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ht="22.5" outlineLevel="1" x14ac:dyDescent="0.3">
      <c r="A16" s="166">
        <v>6</v>
      </c>
      <c r="B16" s="167" t="s">
        <v>123</v>
      </c>
      <c r="C16" s="168" t="s">
        <v>124</v>
      </c>
      <c r="D16" s="169" t="s">
        <v>122</v>
      </c>
      <c r="E16" s="170">
        <v>8.43E-3</v>
      </c>
      <c r="F16" s="171">
        <v>1092.0999999999999</v>
      </c>
      <c r="G16" s="172">
        <v>8.74</v>
      </c>
      <c r="H16" s="171">
        <v>0</v>
      </c>
      <c r="I16" s="172">
        <f>ROUND(E16*H16,2)</f>
        <v>0</v>
      </c>
      <c r="J16" s="171">
        <v>1092.0999999999999</v>
      </c>
      <c r="K16" s="172">
        <f>ROUND(E16*J16,2)</f>
        <v>9.2100000000000009</v>
      </c>
      <c r="L16" s="172">
        <v>21</v>
      </c>
      <c r="M16" s="172">
        <f>G16*(1+L16/100)</f>
        <v>10.5754</v>
      </c>
      <c r="N16" s="173">
        <v>0</v>
      </c>
      <c r="O16" s="173">
        <f>ROUND(E16*N16,5)</f>
        <v>0</v>
      </c>
      <c r="P16" s="173">
        <v>0</v>
      </c>
      <c r="Q16" s="173">
        <f>ROUND(E16*P16,5)</f>
        <v>0</v>
      </c>
      <c r="R16" s="173"/>
      <c r="S16" s="173"/>
      <c r="T16" s="174">
        <v>0</v>
      </c>
      <c r="U16" s="173">
        <f>ROUND(E16*T16,2)</f>
        <v>0</v>
      </c>
      <c r="V16" s="175"/>
      <c r="W16" s="175"/>
      <c r="X16" s="175"/>
      <c r="Y16" s="175"/>
      <c r="Z16" s="175"/>
      <c r="AA16" s="175"/>
      <c r="AB16" s="175"/>
      <c r="AC16" s="175"/>
      <c r="AD16" s="175"/>
      <c r="AE16" s="175" t="s">
        <v>112</v>
      </c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x14ac:dyDescent="0.3">
      <c r="A17" s="176" t="s">
        <v>107</v>
      </c>
      <c r="B17" s="177" t="s">
        <v>72</v>
      </c>
      <c r="C17" s="178" t="s">
        <v>73</v>
      </c>
      <c r="D17" s="179"/>
      <c r="E17" s="180"/>
      <c r="F17" s="181"/>
      <c r="G17" s="181">
        <f>SUMIF(AE18:AE36,"&lt;&gt;NOR",G18:G36)</f>
        <v>56828.439999999988</v>
      </c>
      <c r="H17" s="181"/>
      <c r="I17" s="181">
        <f>SUM(I18:I36)</f>
        <v>33952.53</v>
      </c>
      <c r="J17" s="181"/>
      <c r="K17" s="181">
        <f>SUM(K18:K36)</f>
        <v>22875.71</v>
      </c>
      <c r="L17" s="181"/>
      <c r="M17" s="181">
        <f>SUM(M18:M36)</f>
        <v>68762.412399999987</v>
      </c>
      <c r="N17" s="182"/>
      <c r="O17" s="182">
        <f>SUM(O18:O36)</f>
        <v>0.67232000000000003</v>
      </c>
      <c r="P17" s="182"/>
      <c r="Q17" s="182">
        <f>SUM(Q18:Q36)</f>
        <v>0.22373999999999999</v>
      </c>
      <c r="R17" s="182"/>
      <c r="S17" s="182"/>
      <c r="T17" s="183"/>
      <c r="U17" s="182">
        <f>SUM(U18:U36)</f>
        <v>44.249999999999993</v>
      </c>
      <c r="AE17" t="s">
        <v>108</v>
      </c>
    </row>
    <row r="18" spans="1:60" ht="22.5" outlineLevel="1" x14ac:dyDescent="0.3">
      <c r="A18" s="166">
        <v>7</v>
      </c>
      <c r="B18" s="167" t="s">
        <v>125</v>
      </c>
      <c r="C18" s="168" t="s">
        <v>126</v>
      </c>
      <c r="D18" s="169" t="s">
        <v>117</v>
      </c>
      <c r="E18" s="170">
        <v>17</v>
      </c>
      <c r="F18" s="171">
        <v>126.27</v>
      </c>
      <c r="G18" s="172">
        <v>2146.59</v>
      </c>
      <c r="H18" s="171">
        <v>107.5</v>
      </c>
      <c r="I18" s="172">
        <f t="shared" ref="I18:I36" si="0">ROUND(E18*H18,2)</f>
        <v>1827.5</v>
      </c>
      <c r="J18" s="171">
        <v>18.77</v>
      </c>
      <c r="K18" s="172">
        <f t="shared" ref="K18:K36" si="1">ROUND(E18*J18,2)</f>
        <v>319.08999999999997</v>
      </c>
      <c r="L18" s="172">
        <v>21</v>
      </c>
      <c r="M18" s="172">
        <f t="shared" ref="M18:M36" si="2">G18*(1+L18/100)</f>
        <v>2597.3739</v>
      </c>
      <c r="N18" s="173">
        <v>3.8999999999999999E-4</v>
      </c>
      <c r="O18" s="173">
        <f t="shared" ref="O18:O36" si="3">ROUND(E18*N18,5)</f>
        <v>6.6299999999999996E-3</v>
      </c>
      <c r="P18" s="173">
        <v>3.4199999999999999E-3</v>
      </c>
      <c r="Q18" s="173">
        <f t="shared" ref="Q18:Q36" si="4">ROUND(E18*P18,5)</f>
        <v>5.8139999999999997E-2</v>
      </c>
      <c r="R18" s="173"/>
      <c r="S18" s="173"/>
      <c r="T18" s="174">
        <v>4.3999999999999997E-2</v>
      </c>
      <c r="U18" s="173">
        <f t="shared" ref="U18:U36" si="5">ROUND(E18*T18,2)</f>
        <v>0.75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112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ht="22.5" outlineLevel="1" x14ac:dyDescent="0.3">
      <c r="A19" s="166">
        <v>8</v>
      </c>
      <c r="B19" s="167" t="s">
        <v>127</v>
      </c>
      <c r="C19" s="168" t="s">
        <v>128</v>
      </c>
      <c r="D19" s="169" t="s">
        <v>117</v>
      </c>
      <c r="E19" s="170">
        <v>20</v>
      </c>
      <c r="F19" s="171">
        <v>129.69</v>
      </c>
      <c r="G19" s="172">
        <v>2593.8000000000002</v>
      </c>
      <c r="H19" s="171">
        <v>107.5</v>
      </c>
      <c r="I19" s="172">
        <f t="shared" si="0"/>
        <v>2150</v>
      </c>
      <c r="J19" s="171">
        <v>22.19</v>
      </c>
      <c r="K19" s="172">
        <f t="shared" si="1"/>
        <v>443.8</v>
      </c>
      <c r="L19" s="172">
        <v>21</v>
      </c>
      <c r="M19" s="172">
        <f t="shared" si="2"/>
        <v>3138.498</v>
      </c>
      <c r="N19" s="173">
        <v>3.8999999999999999E-4</v>
      </c>
      <c r="O19" s="173">
        <f t="shared" si="3"/>
        <v>7.7999999999999996E-3</v>
      </c>
      <c r="P19" s="173">
        <v>8.2799999999999992E-3</v>
      </c>
      <c r="Q19" s="173">
        <f t="shared" si="4"/>
        <v>0.1656</v>
      </c>
      <c r="R19" s="173"/>
      <c r="S19" s="173"/>
      <c r="T19" s="174">
        <v>5.1999999999999998E-2</v>
      </c>
      <c r="U19" s="173">
        <f t="shared" si="5"/>
        <v>1.04</v>
      </c>
      <c r="V19" s="175"/>
      <c r="W19" s="175"/>
      <c r="X19" s="175"/>
      <c r="Y19" s="175"/>
      <c r="Z19" s="175"/>
      <c r="AA19" s="175"/>
      <c r="AB19" s="175"/>
      <c r="AC19" s="175"/>
      <c r="AD19" s="175"/>
      <c r="AE19" s="175" t="s">
        <v>112</v>
      </c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ht="22.5" outlineLevel="1" x14ac:dyDescent="0.3">
      <c r="A20" s="166">
        <v>9</v>
      </c>
      <c r="B20" s="167" t="s">
        <v>129</v>
      </c>
      <c r="C20" s="168" t="s">
        <v>130</v>
      </c>
      <c r="D20" s="169" t="s">
        <v>122</v>
      </c>
      <c r="E20" s="170">
        <v>0.22373999999999999</v>
      </c>
      <c r="F20" s="171">
        <v>1729.15</v>
      </c>
      <c r="G20" s="172">
        <v>387.33</v>
      </c>
      <c r="H20" s="171">
        <v>0</v>
      </c>
      <c r="I20" s="172">
        <f t="shared" si="0"/>
        <v>0</v>
      </c>
      <c r="J20" s="171">
        <v>1729.15</v>
      </c>
      <c r="K20" s="172">
        <f t="shared" si="1"/>
        <v>386.88</v>
      </c>
      <c r="L20" s="172">
        <v>21</v>
      </c>
      <c r="M20" s="172">
        <f t="shared" si="2"/>
        <v>468.66929999999996</v>
      </c>
      <c r="N20" s="173">
        <v>0</v>
      </c>
      <c r="O20" s="173">
        <f t="shared" si="3"/>
        <v>0</v>
      </c>
      <c r="P20" s="173">
        <v>0</v>
      </c>
      <c r="Q20" s="173">
        <f t="shared" si="4"/>
        <v>0</v>
      </c>
      <c r="R20" s="173"/>
      <c r="S20" s="173"/>
      <c r="T20" s="174">
        <v>3.379</v>
      </c>
      <c r="U20" s="173">
        <f t="shared" si="5"/>
        <v>0.76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112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 x14ac:dyDescent="0.3">
      <c r="A21" s="166">
        <v>10</v>
      </c>
      <c r="B21" s="167" t="s">
        <v>131</v>
      </c>
      <c r="C21" s="168" t="s">
        <v>132</v>
      </c>
      <c r="D21" s="169" t="s">
        <v>117</v>
      </c>
      <c r="E21" s="170">
        <v>15</v>
      </c>
      <c r="F21" s="171">
        <v>963.56</v>
      </c>
      <c r="G21" s="172">
        <v>14453.4</v>
      </c>
      <c r="H21" s="171">
        <v>604.53</v>
      </c>
      <c r="I21" s="172">
        <f t="shared" si="0"/>
        <v>9067.9500000000007</v>
      </c>
      <c r="J21" s="171">
        <v>359.03</v>
      </c>
      <c r="K21" s="172">
        <f t="shared" si="1"/>
        <v>5385.45</v>
      </c>
      <c r="L21" s="172">
        <v>21</v>
      </c>
      <c r="M21" s="172">
        <f t="shared" si="2"/>
        <v>17488.613999999998</v>
      </c>
      <c r="N21" s="173">
        <v>1.21E-2</v>
      </c>
      <c r="O21" s="173">
        <f t="shared" si="3"/>
        <v>0.18149999999999999</v>
      </c>
      <c r="P21" s="173">
        <v>0</v>
      </c>
      <c r="Q21" s="173">
        <f t="shared" si="4"/>
        <v>0</v>
      </c>
      <c r="R21" s="173"/>
      <c r="S21" s="173"/>
      <c r="T21" s="174">
        <v>0.68700000000000006</v>
      </c>
      <c r="U21" s="173">
        <f t="shared" si="5"/>
        <v>10.31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112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ht="22.5" outlineLevel="1" x14ac:dyDescent="0.3">
      <c r="A22" s="166">
        <v>11</v>
      </c>
      <c r="B22" s="167" t="s">
        <v>133</v>
      </c>
      <c r="C22" s="168" t="s">
        <v>134</v>
      </c>
      <c r="D22" s="169" t="s">
        <v>117</v>
      </c>
      <c r="E22" s="170">
        <v>11</v>
      </c>
      <c r="F22" s="171">
        <v>737.16</v>
      </c>
      <c r="G22" s="172">
        <v>8108.76</v>
      </c>
      <c r="H22" s="171">
        <v>453.8</v>
      </c>
      <c r="I22" s="172">
        <f t="shared" si="0"/>
        <v>4991.8</v>
      </c>
      <c r="J22" s="171">
        <v>283.36</v>
      </c>
      <c r="K22" s="172">
        <f t="shared" si="1"/>
        <v>3116.96</v>
      </c>
      <c r="L22" s="172">
        <v>21</v>
      </c>
      <c r="M22" s="172">
        <f t="shared" si="2"/>
        <v>9811.5995999999996</v>
      </c>
      <c r="N22" s="173">
        <v>1.0070000000000001E-2</v>
      </c>
      <c r="O22" s="173">
        <f t="shared" si="3"/>
        <v>0.11076999999999999</v>
      </c>
      <c r="P22" s="173">
        <v>0</v>
      </c>
      <c r="Q22" s="173">
        <f t="shared" si="4"/>
        <v>0</v>
      </c>
      <c r="R22" s="173"/>
      <c r="S22" s="173"/>
      <c r="T22" s="174">
        <v>0.55900000000000005</v>
      </c>
      <c r="U22" s="173">
        <f t="shared" si="5"/>
        <v>6.15</v>
      </c>
      <c r="V22" s="175"/>
      <c r="W22" s="175"/>
      <c r="X22" s="175"/>
      <c r="Y22" s="175"/>
      <c r="Z22" s="175"/>
      <c r="AA22" s="175"/>
      <c r="AB22" s="175"/>
      <c r="AC22" s="175"/>
      <c r="AD22" s="175"/>
      <c r="AE22" s="175" t="s">
        <v>112</v>
      </c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ht="22.5" outlineLevel="1" x14ac:dyDescent="0.3">
      <c r="A23" s="166">
        <v>12</v>
      </c>
      <c r="B23" s="167" t="s">
        <v>135</v>
      </c>
      <c r="C23" s="168" t="s">
        <v>136</v>
      </c>
      <c r="D23" s="169" t="s">
        <v>117</v>
      </c>
      <c r="E23" s="170">
        <v>2.5</v>
      </c>
      <c r="F23" s="171">
        <v>627.96</v>
      </c>
      <c r="G23" s="172">
        <v>1569.9</v>
      </c>
      <c r="H23" s="171">
        <v>358.13</v>
      </c>
      <c r="I23" s="172">
        <f t="shared" si="0"/>
        <v>895.33</v>
      </c>
      <c r="J23" s="171">
        <v>269.83</v>
      </c>
      <c r="K23" s="172">
        <f t="shared" si="1"/>
        <v>674.58</v>
      </c>
      <c r="L23" s="172">
        <v>21</v>
      </c>
      <c r="M23" s="172">
        <f t="shared" si="2"/>
        <v>1899.579</v>
      </c>
      <c r="N23" s="173">
        <v>8.0599999999999995E-3</v>
      </c>
      <c r="O23" s="173">
        <f t="shared" si="3"/>
        <v>2.0150000000000001E-2</v>
      </c>
      <c r="P23" s="173">
        <v>0</v>
      </c>
      <c r="Q23" s="173">
        <f t="shared" si="4"/>
        <v>0</v>
      </c>
      <c r="R23" s="173"/>
      <c r="S23" s="173"/>
      <c r="T23" s="174">
        <v>0.53700000000000003</v>
      </c>
      <c r="U23" s="173">
        <f t="shared" si="5"/>
        <v>1.34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112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ht="22.5" outlineLevel="1" x14ac:dyDescent="0.3">
      <c r="A24" s="166">
        <v>13</v>
      </c>
      <c r="B24" s="167" t="s">
        <v>137</v>
      </c>
      <c r="C24" s="168" t="s">
        <v>138</v>
      </c>
      <c r="D24" s="169" t="s">
        <v>117</v>
      </c>
      <c r="E24" s="170">
        <v>5</v>
      </c>
      <c r="F24" s="171">
        <v>671.18</v>
      </c>
      <c r="G24" s="172">
        <v>3355.9</v>
      </c>
      <c r="H24" s="171">
        <v>277.27999999999997</v>
      </c>
      <c r="I24" s="172">
        <f t="shared" si="0"/>
        <v>1386.4</v>
      </c>
      <c r="J24" s="171">
        <v>393.9</v>
      </c>
      <c r="K24" s="172">
        <f t="shared" si="1"/>
        <v>1969.5</v>
      </c>
      <c r="L24" s="172">
        <v>21</v>
      </c>
      <c r="M24" s="172">
        <f t="shared" si="2"/>
        <v>4060.6390000000001</v>
      </c>
      <c r="N24" s="173">
        <v>2.1690000000000001E-2</v>
      </c>
      <c r="O24" s="173">
        <f t="shared" si="3"/>
        <v>0.10845</v>
      </c>
      <c r="P24" s="173">
        <v>0</v>
      </c>
      <c r="Q24" s="173">
        <f t="shared" si="4"/>
        <v>0</v>
      </c>
      <c r="R24" s="173"/>
      <c r="S24" s="173"/>
      <c r="T24" s="174">
        <v>0.79300000000000004</v>
      </c>
      <c r="U24" s="173">
        <f t="shared" si="5"/>
        <v>3.97</v>
      </c>
      <c r="V24" s="175"/>
      <c r="W24" s="175"/>
      <c r="X24" s="175"/>
      <c r="Y24" s="175"/>
      <c r="Z24" s="175"/>
      <c r="AA24" s="175"/>
      <c r="AB24" s="175"/>
      <c r="AC24" s="175"/>
      <c r="AD24" s="175"/>
      <c r="AE24" s="175" t="s">
        <v>112</v>
      </c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ht="22.5" outlineLevel="1" x14ac:dyDescent="0.3">
      <c r="A25" s="166">
        <v>14</v>
      </c>
      <c r="B25" s="167" t="s">
        <v>139</v>
      </c>
      <c r="C25" s="168" t="s">
        <v>140</v>
      </c>
      <c r="D25" s="169" t="s">
        <v>117</v>
      </c>
      <c r="E25" s="170">
        <v>9</v>
      </c>
      <c r="F25" s="171">
        <v>612.03</v>
      </c>
      <c r="G25" s="172">
        <v>5508.27</v>
      </c>
      <c r="H25" s="171">
        <v>242.35</v>
      </c>
      <c r="I25" s="172">
        <f t="shared" si="0"/>
        <v>2181.15</v>
      </c>
      <c r="J25" s="171">
        <v>369.68</v>
      </c>
      <c r="K25" s="172">
        <f t="shared" si="1"/>
        <v>3327.12</v>
      </c>
      <c r="L25" s="172">
        <v>21</v>
      </c>
      <c r="M25" s="172">
        <f t="shared" si="2"/>
        <v>6665.0066999999999</v>
      </c>
      <c r="N25" s="173">
        <v>1.4800000000000001E-2</v>
      </c>
      <c r="O25" s="173">
        <f t="shared" si="3"/>
        <v>0.13320000000000001</v>
      </c>
      <c r="P25" s="173">
        <v>0</v>
      </c>
      <c r="Q25" s="173">
        <f t="shared" si="4"/>
        <v>0</v>
      </c>
      <c r="R25" s="173"/>
      <c r="S25" s="173"/>
      <c r="T25" s="174">
        <v>0.753</v>
      </c>
      <c r="U25" s="173">
        <f t="shared" si="5"/>
        <v>6.78</v>
      </c>
      <c r="V25" s="175"/>
      <c r="W25" s="175"/>
      <c r="X25" s="175"/>
      <c r="Y25" s="175"/>
      <c r="Z25" s="175"/>
      <c r="AA25" s="175"/>
      <c r="AB25" s="175"/>
      <c r="AC25" s="175"/>
      <c r="AD25" s="175"/>
      <c r="AE25" s="175" t="s">
        <v>112</v>
      </c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ht="22.5" outlineLevel="1" x14ac:dyDescent="0.3">
      <c r="A26" s="166">
        <v>15</v>
      </c>
      <c r="B26" s="167" t="s">
        <v>141</v>
      </c>
      <c r="C26" s="168" t="s">
        <v>142</v>
      </c>
      <c r="D26" s="169" t="s">
        <v>117</v>
      </c>
      <c r="E26" s="170">
        <v>7</v>
      </c>
      <c r="F26" s="171">
        <v>524.42999999999995</v>
      </c>
      <c r="G26" s="172">
        <v>3671.01</v>
      </c>
      <c r="H26" s="171">
        <v>182.49</v>
      </c>
      <c r="I26" s="172">
        <f t="shared" si="0"/>
        <v>1277.43</v>
      </c>
      <c r="J26" s="171">
        <v>341.94</v>
      </c>
      <c r="K26" s="172">
        <f t="shared" si="1"/>
        <v>2393.58</v>
      </c>
      <c r="L26" s="172">
        <v>21</v>
      </c>
      <c r="M26" s="172">
        <f t="shared" si="2"/>
        <v>4441.9220999999998</v>
      </c>
      <c r="N26" s="173">
        <v>1.2489999999999999E-2</v>
      </c>
      <c r="O26" s="173">
        <f t="shared" si="3"/>
        <v>8.7429999999999994E-2</v>
      </c>
      <c r="P26" s="173">
        <v>0</v>
      </c>
      <c r="Q26" s="173">
        <f t="shared" si="4"/>
        <v>0</v>
      </c>
      <c r="R26" s="173"/>
      <c r="S26" s="173"/>
      <c r="T26" s="174">
        <v>0.70399999999999996</v>
      </c>
      <c r="U26" s="173">
        <f t="shared" si="5"/>
        <v>4.93</v>
      </c>
      <c r="V26" s="175"/>
      <c r="W26" s="175"/>
      <c r="X26" s="175"/>
      <c r="Y26" s="175"/>
      <c r="Z26" s="175"/>
      <c r="AA26" s="175"/>
      <c r="AB26" s="175"/>
      <c r="AC26" s="175"/>
      <c r="AD26" s="175"/>
      <c r="AE26" s="175" t="s">
        <v>112</v>
      </c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ht="22.5" outlineLevel="1" x14ac:dyDescent="0.3">
      <c r="A27" s="166">
        <v>16</v>
      </c>
      <c r="B27" s="167" t="s">
        <v>143</v>
      </c>
      <c r="C27" s="168" t="s">
        <v>144</v>
      </c>
      <c r="D27" s="169" t="s">
        <v>117</v>
      </c>
      <c r="E27" s="170">
        <v>0.3</v>
      </c>
      <c r="F27" s="171">
        <v>334.45</v>
      </c>
      <c r="G27" s="172">
        <v>100.34</v>
      </c>
      <c r="H27" s="171">
        <v>171.81</v>
      </c>
      <c r="I27" s="172">
        <f t="shared" si="0"/>
        <v>51.54</v>
      </c>
      <c r="J27" s="171">
        <v>162.63999999999999</v>
      </c>
      <c r="K27" s="172">
        <f t="shared" si="1"/>
        <v>48.79</v>
      </c>
      <c r="L27" s="172">
        <v>21</v>
      </c>
      <c r="M27" s="172">
        <f t="shared" si="2"/>
        <v>121.4114</v>
      </c>
      <c r="N27" s="173">
        <v>2.5699999999999998E-3</v>
      </c>
      <c r="O27" s="173">
        <f t="shared" si="3"/>
        <v>7.6999999999999996E-4</v>
      </c>
      <c r="P27" s="173">
        <v>0</v>
      </c>
      <c r="Q27" s="173">
        <f t="shared" si="4"/>
        <v>0</v>
      </c>
      <c r="R27" s="173"/>
      <c r="S27" s="173"/>
      <c r="T27" s="174">
        <v>0.26900000000000002</v>
      </c>
      <c r="U27" s="173">
        <f t="shared" si="5"/>
        <v>0.08</v>
      </c>
      <c r="V27" s="175"/>
      <c r="W27" s="175"/>
      <c r="X27" s="175"/>
      <c r="Y27" s="175"/>
      <c r="Z27" s="175"/>
      <c r="AA27" s="175"/>
      <c r="AB27" s="175"/>
      <c r="AC27" s="175"/>
      <c r="AD27" s="175"/>
      <c r="AE27" s="175" t="s">
        <v>112</v>
      </c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ht="22.5" outlineLevel="1" x14ac:dyDescent="0.3">
      <c r="A28" s="166">
        <v>17</v>
      </c>
      <c r="B28" s="167" t="s">
        <v>145</v>
      </c>
      <c r="C28" s="168" t="s">
        <v>146</v>
      </c>
      <c r="D28" s="169" t="s">
        <v>117</v>
      </c>
      <c r="E28" s="170">
        <v>0.9</v>
      </c>
      <c r="F28" s="171">
        <v>414.09</v>
      </c>
      <c r="G28" s="172">
        <v>372.68</v>
      </c>
      <c r="H28" s="171">
        <v>238.03</v>
      </c>
      <c r="I28" s="172">
        <f t="shared" si="0"/>
        <v>214.23</v>
      </c>
      <c r="J28" s="171">
        <v>176.06</v>
      </c>
      <c r="K28" s="172">
        <f t="shared" si="1"/>
        <v>158.44999999999999</v>
      </c>
      <c r="L28" s="172">
        <v>21</v>
      </c>
      <c r="M28" s="172">
        <f t="shared" si="2"/>
        <v>450.94279999999998</v>
      </c>
      <c r="N28" s="173">
        <v>3.0100000000000001E-3</v>
      </c>
      <c r="O28" s="173">
        <f t="shared" si="3"/>
        <v>2.7100000000000002E-3</v>
      </c>
      <c r="P28" s="173">
        <v>0</v>
      </c>
      <c r="Q28" s="173">
        <f t="shared" si="4"/>
        <v>0</v>
      </c>
      <c r="R28" s="173"/>
      <c r="S28" s="173"/>
      <c r="T28" s="174">
        <v>0.28999999999999998</v>
      </c>
      <c r="U28" s="173">
        <f t="shared" si="5"/>
        <v>0.26</v>
      </c>
      <c r="V28" s="175"/>
      <c r="W28" s="175"/>
      <c r="X28" s="175"/>
      <c r="Y28" s="175"/>
      <c r="Z28" s="175"/>
      <c r="AA28" s="175"/>
      <c r="AB28" s="175"/>
      <c r="AC28" s="175"/>
      <c r="AD28" s="175"/>
      <c r="AE28" s="175" t="s">
        <v>112</v>
      </c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ht="22.5" outlineLevel="1" x14ac:dyDescent="0.3">
      <c r="A29" s="166">
        <v>18</v>
      </c>
      <c r="B29" s="167" t="s">
        <v>147</v>
      </c>
      <c r="C29" s="168" t="s">
        <v>148</v>
      </c>
      <c r="D29" s="169" t="s">
        <v>117</v>
      </c>
      <c r="E29" s="170">
        <v>1.2</v>
      </c>
      <c r="F29" s="171">
        <v>516.47</v>
      </c>
      <c r="G29" s="172">
        <v>619.76</v>
      </c>
      <c r="H29" s="171">
        <v>297.35000000000002</v>
      </c>
      <c r="I29" s="172">
        <f t="shared" si="0"/>
        <v>356.82</v>
      </c>
      <c r="J29" s="171">
        <v>219.12</v>
      </c>
      <c r="K29" s="172">
        <f t="shared" si="1"/>
        <v>262.94</v>
      </c>
      <c r="L29" s="172">
        <v>21</v>
      </c>
      <c r="M29" s="172">
        <f t="shared" si="2"/>
        <v>749.90959999999995</v>
      </c>
      <c r="N29" s="173">
        <v>4.2900000000000004E-3</v>
      </c>
      <c r="O29" s="173">
        <f t="shared" si="3"/>
        <v>5.1500000000000001E-3</v>
      </c>
      <c r="P29" s="173">
        <v>0</v>
      </c>
      <c r="Q29" s="173">
        <f t="shared" si="4"/>
        <v>0</v>
      </c>
      <c r="R29" s="173"/>
      <c r="S29" s="173"/>
      <c r="T29" s="174">
        <v>0.36199999999999999</v>
      </c>
      <c r="U29" s="173">
        <f t="shared" si="5"/>
        <v>0.43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112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ht="22.5" outlineLevel="1" x14ac:dyDescent="0.3">
      <c r="A30" s="166">
        <v>19</v>
      </c>
      <c r="B30" s="167" t="s">
        <v>149</v>
      </c>
      <c r="C30" s="168" t="s">
        <v>150</v>
      </c>
      <c r="D30" s="169" t="s">
        <v>111</v>
      </c>
      <c r="E30" s="170">
        <v>1</v>
      </c>
      <c r="F30" s="171">
        <v>1112.57</v>
      </c>
      <c r="G30" s="172">
        <v>1112.57</v>
      </c>
      <c r="H30" s="171">
        <v>1021.43</v>
      </c>
      <c r="I30" s="172">
        <f t="shared" si="0"/>
        <v>1021.43</v>
      </c>
      <c r="J30" s="171">
        <v>91.14</v>
      </c>
      <c r="K30" s="172">
        <f t="shared" si="1"/>
        <v>91.14</v>
      </c>
      <c r="L30" s="172">
        <v>21</v>
      </c>
      <c r="M30" s="172">
        <f t="shared" si="2"/>
        <v>1346.2096999999999</v>
      </c>
      <c r="N30" s="173">
        <v>1.7600000000000001E-3</v>
      </c>
      <c r="O30" s="173">
        <f t="shared" si="3"/>
        <v>1.7600000000000001E-3</v>
      </c>
      <c r="P30" s="173">
        <v>0</v>
      </c>
      <c r="Q30" s="173">
        <f t="shared" si="4"/>
        <v>0</v>
      </c>
      <c r="R30" s="173"/>
      <c r="S30" s="173"/>
      <c r="T30" s="174">
        <v>0.42399999999999999</v>
      </c>
      <c r="U30" s="173">
        <f t="shared" si="5"/>
        <v>0.42</v>
      </c>
      <c r="V30" s="175"/>
      <c r="W30" s="175"/>
      <c r="X30" s="175"/>
      <c r="Y30" s="175"/>
      <c r="Z30" s="175"/>
      <c r="AA30" s="175"/>
      <c r="AB30" s="175"/>
      <c r="AC30" s="175"/>
      <c r="AD30" s="175"/>
      <c r="AE30" s="175" t="s">
        <v>112</v>
      </c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33.75" outlineLevel="1" x14ac:dyDescent="0.3">
      <c r="A31" s="166">
        <v>20</v>
      </c>
      <c r="B31" s="167" t="s">
        <v>151</v>
      </c>
      <c r="C31" s="168" t="s">
        <v>152</v>
      </c>
      <c r="D31" s="169" t="s">
        <v>111</v>
      </c>
      <c r="E31" s="170">
        <v>1</v>
      </c>
      <c r="F31" s="171">
        <v>8088.38</v>
      </c>
      <c r="G31" s="172">
        <v>8088.38</v>
      </c>
      <c r="H31" s="171">
        <v>7853.11</v>
      </c>
      <c r="I31" s="172">
        <f t="shared" si="0"/>
        <v>7853.11</v>
      </c>
      <c r="J31" s="171">
        <v>235.27</v>
      </c>
      <c r="K31" s="172">
        <f t="shared" si="1"/>
        <v>235.27</v>
      </c>
      <c r="L31" s="172">
        <v>21</v>
      </c>
      <c r="M31" s="172">
        <f t="shared" si="2"/>
        <v>9786.9398000000001</v>
      </c>
      <c r="N31" s="173">
        <v>1E-3</v>
      </c>
      <c r="O31" s="173">
        <f t="shared" si="3"/>
        <v>1E-3</v>
      </c>
      <c r="P31" s="173">
        <v>0</v>
      </c>
      <c r="Q31" s="173">
        <f t="shared" si="4"/>
        <v>0</v>
      </c>
      <c r="R31" s="173"/>
      <c r="S31" s="173"/>
      <c r="T31" s="174">
        <v>0</v>
      </c>
      <c r="U31" s="173">
        <f t="shared" si="5"/>
        <v>0</v>
      </c>
      <c r="V31" s="175"/>
      <c r="W31" s="175"/>
      <c r="X31" s="175"/>
      <c r="Y31" s="175"/>
      <c r="Z31" s="175"/>
      <c r="AA31" s="175"/>
      <c r="AB31" s="175"/>
      <c r="AC31" s="175"/>
      <c r="AD31" s="175"/>
      <c r="AE31" s="175" t="s">
        <v>153</v>
      </c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ht="22.5" outlineLevel="1" x14ac:dyDescent="0.3">
      <c r="A32" s="166">
        <v>21</v>
      </c>
      <c r="B32" s="167" t="s">
        <v>154</v>
      </c>
      <c r="C32" s="168" t="s">
        <v>155</v>
      </c>
      <c r="D32" s="169" t="s">
        <v>111</v>
      </c>
      <c r="E32" s="170">
        <v>1</v>
      </c>
      <c r="F32" s="171">
        <v>1422</v>
      </c>
      <c r="G32" s="172">
        <v>1422</v>
      </c>
      <c r="H32" s="171">
        <v>677.84</v>
      </c>
      <c r="I32" s="172">
        <f t="shared" si="0"/>
        <v>677.84</v>
      </c>
      <c r="J32" s="171">
        <v>744.16</v>
      </c>
      <c r="K32" s="172">
        <f t="shared" si="1"/>
        <v>744.16</v>
      </c>
      <c r="L32" s="172">
        <v>21</v>
      </c>
      <c r="M32" s="172">
        <f t="shared" si="2"/>
        <v>1720.62</v>
      </c>
      <c r="N32" s="173">
        <v>5.0000000000000001E-3</v>
      </c>
      <c r="O32" s="173">
        <f t="shared" si="3"/>
        <v>5.0000000000000001E-3</v>
      </c>
      <c r="P32" s="173">
        <v>0</v>
      </c>
      <c r="Q32" s="173">
        <f t="shared" si="4"/>
        <v>0</v>
      </c>
      <c r="R32" s="173"/>
      <c r="S32" s="173"/>
      <c r="T32" s="174">
        <v>0.97199999999999998</v>
      </c>
      <c r="U32" s="173">
        <f t="shared" si="5"/>
        <v>0.97</v>
      </c>
      <c r="V32" s="175"/>
      <c r="W32" s="175"/>
      <c r="X32" s="175"/>
      <c r="Y32" s="175"/>
      <c r="Z32" s="175"/>
      <c r="AA32" s="175"/>
      <c r="AB32" s="175"/>
      <c r="AC32" s="175"/>
      <c r="AD32" s="175"/>
      <c r="AE32" s="175" t="s">
        <v>112</v>
      </c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outlineLevel="1" x14ac:dyDescent="0.3">
      <c r="A33" s="166">
        <v>22</v>
      </c>
      <c r="B33" s="167" t="s">
        <v>156</v>
      </c>
      <c r="C33" s="168" t="s">
        <v>157</v>
      </c>
      <c r="D33" s="169" t="s">
        <v>111</v>
      </c>
      <c r="E33" s="170">
        <v>7</v>
      </c>
      <c r="F33" s="171">
        <v>38.56</v>
      </c>
      <c r="G33" s="172">
        <v>269.92</v>
      </c>
      <c r="H33" s="171">
        <v>0</v>
      </c>
      <c r="I33" s="172">
        <f t="shared" si="0"/>
        <v>0</v>
      </c>
      <c r="J33" s="171">
        <v>38.56</v>
      </c>
      <c r="K33" s="172">
        <f t="shared" si="1"/>
        <v>269.92</v>
      </c>
      <c r="L33" s="172">
        <v>21</v>
      </c>
      <c r="M33" s="172">
        <f t="shared" si="2"/>
        <v>326.60320000000002</v>
      </c>
      <c r="N33" s="173">
        <v>0</v>
      </c>
      <c r="O33" s="173">
        <f t="shared" si="3"/>
        <v>0</v>
      </c>
      <c r="P33" s="173">
        <v>0</v>
      </c>
      <c r="Q33" s="173">
        <f t="shared" si="4"/>
        <v>0</v>
      </c>
      <c r="R33" s="173"/>
      <c r="S33" s="173"/>
      <c r="T33" s="174">
        <v>6.4000000000000001E-2</v>
      </c>
      <c r="U33" s="173">
        <f t="shared" si="5"/>
        <v>0.45</v>
      </c>
      <c r="V33" s="175"/>
      <c r="W33" s="175"/>
      <c r="X33" s="175"/>
      <c r="Y33" s="175"/>
      <c r="Z33" s="175"/>
      <c r="AA33" s="175"/>
      <c r="AB33" s="175"/>
      <c r="AC33" s="175"/>
      <c r="AD33" s="175"/>
      <c r="AE33" s="175" t="s">
        <v>112</v>
      </c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 x14ac:dyDescent="0.3">
      <c r="A34" s="166">
        <v>23</v>
      </c>
      <c r="B34" s="167" t="s">
        <v>158</v>
      </c>
      <c r="C34" s="168" t="s">
        <v>159</v>
      </c>
      <c r="D34" s="169" t="s">
        <v>117</v>
      </c>
      <c r="E34" s="170">
        <v>68</v>
      </c>
      <c r="F34" s="171">
        <v>33.9</v>
      </c>
      <c r="G34" s="172">
        <v>2305.1999999999998</v>
      </c>
      <c r="H34" s="171">
        <v>0</v>
      </c>
      <c r="I34" s="172">
        <f t="shared" si="0"/>
        <v>0</v>
      </c>
      <c r="J34" s="171">
        <v>33.9</v>
      </c>
      <c r="K34" s="172">
        <f t="shared" si="1"/>
        <v>2305.1999999999998</v>
      </c>
      <c r="L34" s="172">
        <v>21</v>
      </c>
      <c r="M34" s="172">
        <f t="shared" si="2"/>
        <v>2789.2919999999999</v>
      </c>
      <c r="N34" s="173">
        <v>0</v>
      </c>
      <c r="O34" s="173">
        <f t="shared" si="3"/>
        <v>0</v>
      </c>
      <c r="P34" s="173">
        <v>0</v>
      </c>
      <c r="Q34" s="173">
        <f t="shared" si="4"/>
        <v>0</v>
      </c>
      <c r="R34" s="173"/>
      <c r="S34" s="173"/>
      <c r="T34" s="174">
        <v>6.2E-2</v>
      </c>
      <c r="U34" s="173">
        <f t="shared" si="5"/>
        <v>4.22</v>
      </c>
      <c r="V34" s="175"/>
      <c r="W34" s="175"/>
      <c r="X34" s="175"/>
      <c r="Y34" s="175"/>
      <c r="Z34" s="175"/>
      <c r="AA34" s="175"/>
      <c r="AB34" s="175"/>
      <c r="AC34" s="175"/>
      <c r="AD34" s="175"/>
      <c r="AE34" s="175" t="s">
        <v>112</v>
      </c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 x14ac:dyDescent="0.3">
      <c r="A35" s="166">
        <v>24</v>
      </c>
      <c r="B35" s="167" t="s">
        <v>160</v>
      </c>
      <c r="C35" s="168" t="s">
        <v>161</v>
      </c>
      <c r="D35" s="169" t="s">
        <v>111</v>
      </c>
      <c r="E35" s="170">
        <v>1</v>
      </c>
      <c r="F35" s="171">
        <v>290.08999999999997</v>
      </c>
      <c r="G35" s="172">
        <v>290.08999999999997</v>
      </c>
      <c r="H35" s="171">
        <v>0</v>
      </c>
      <c r="I35" s="172">
        <f t="shared" si="0"/>
        <v>0</v>
      </c>
      <c r="J35" s="171">
        <v>290.08999999999997</v>
      </c>
      <c r="K35" s="172">
        <f t="shared" si="1"/>
        <v>290.08999999999997</v>
      </c>
      <c r="L35" s="172">
        <v>21</v>
      </c>
      <c r="M35" s="172">
        <f t="shared" si="2"/>
        <v>351.00889999999998</v>
      </c>
      <c r="N35" s="173">
        <v>0</v>
      </c>
      <c r="O35" s="173">
        <f t="shared" si="3"/>
        <v>0</v>
      </c>
      <c r="P35" s="173">
        <v>0</v>
      </c>
      <c r="Q35" s="173">
        <f t="shared" si="4"/>
        <v>0</v>
      </c>
      <c r="R35" s="173"/>
      <c r="S35" s="173"/>
      <c r="T35" s="174">
        <v>0.48199999999999998</v>
      </c>
      <c r="U35" s="173">
        <f t="shared" si="5"/>
        <v>0.48</v>
      </c>
      <c r="V35" s="175"/>
      <c r="W35" s="175"/>
      <c r="X35" s="175"/>
      <c r="Y35" s="175"/>
      <c r="Z35" s="175"/>
      <c r="AA35" s="175"/>
      <c r="AB35" s="175"/>
      <c r="AC35" s="175"/>
      <c r="AD35" s="175"/>
      <c r="AE35" s="175" t="s">
        <v>112</v>
      </c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ht="22.5" outlineLevel="1" x14ac:dyDescent="0.3">
      <c r="A36" s="166">
        <v>25</v>
      </c>
      <c r="B36" s="167" t="s">
        <v>162</v>
      </c>
      <c r="C36" s="168" t="s">
        <v>163</v>
      </c>
      <c r="D36" s="169" t="s">
        <v>122</v>
      </c>
      <c r="E36" s="170">
        <v>0.68037999999999998</v>
      </c>
      <c r="F36" s="171">
        <v>665.5</v>
      </c>
      <c r="G36" s="172">
        <v>452.54</v>
      </c>
      <c r="H36" s="171">
        <v>0</v>
      </c>
      <c r="I36" s="172">
        <f t="shared" si="0"/>
        <v>0</v>
      </c>
      <c r="J36" s="171">
        <v>665.5</v>
      </c>
      <c r="K36" s="172">
        <f t="shared" si="1"/>
        <v>452.79</v>
      </c>
      <c r="L36" s="172">
        <v>21</v>
      </c>
      <c r="M36" s="172">
        <f t="shared" si="2"/>
        <v>547.57339999999999</v>
      </c>
      <c r="N36" s="173">
        <v>0</v>
      </c>
      <c r="O36" s="173">
        <f t="shared" si="3"/>
        <v>0</v>
      </c>
      <c r="P36" s="173">
        <v>0</v>
      </c>
      <c r="Q36" s="173">
        <f t="shared" si="4"/>
        <v>0</v>
      </c>
      <c r="R36" s="173"/>
      <c r="S36" s="173"/>
      <c r="T36" s="174">
        <v>1.333</v>
      </c>
      <c r="U36" s="173">
        <f t="shared" si="5"/>
        <v>0.91</v>
      </c>
      <c r="V36" s="175"/>
      <c r="W36" s="175"/>
      <c r="X36" s="175"/>
      <c r="Y36" s="175"/>
      <c r="Z36" s="175"/>
      <c r="AA36" s="175"/>
      <c r="AB36" s="175"/>
      <c r="AC36" s="175"/>
      <c r="AD36" s="175"/>
      <c r="AE36" s="175" t="s">
        <v>112</v>
      </c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x14ac:dyDescent="0.3">
      <c r="A37" s="176" t="s">
        <v>107</v>
      </c>
      <c r="B37" s="177" t="s">
        <v>74</v>
      </c>
      <c r="C37" s="178" t="s">
        <v>75</v>
      </c>
      <c r="D37" s="179"/>
      <c r="E37" s="180"/>
      <c r="F37" s="181"/>
      <c r="G37" s="181">
        <f>SUMIF(AE38,"&lt;&gt;NOR",G38)</f>
        <v>6399</v>
      </c>
      <c r="H37" s="181"/>
      <c r="I37" s="181">
        <f>SUM(I38)</f>
        <v>0</v>
      </c>
      <c r="J37" s="181"/>
      <c r="K37" s="181">
        <f>SUM(K38)</f>
        <v>6399</v>
      </c>
      <c r="L37" s="181"/>
      <c r="M37" s="181">
        <f>SUM(M38)</f>
        <v>7742.79</v>
      </c>
      <c r="N37" s="182"/>
      <c r="O37" s="182">
        <f>SUM(O38)</f>
        <v>2.2499999999999998E-3</v>
      </c>
      <c r="P37" s="182"/>
      <c r="Q37" s="182">
        <f>SUM(Q38)</f>
        <v>0</v>
      </c>
      <c r="R37" s="182"/>
      <c r="S37" s="182"/>
      <c r="T37" s="183"/>
      <c r="U37" s="182">
        <f>SUM(U38)</f>
        <v>4.5</v>
      </c>
      <c r="AE37" t="s">
        <v>108</v>
      </c>
    </row>
    <row r="38" spans="1:60" ht="22.5" outlineLevel="1" x14ac:dyDescent="0.3">
      <c r="A38" s="166">
        <v>26</v>
      </c>
      <c r="B38" s="167" t="s">
        <v>164</v>
      </c>
      <c r="C38" s="168" t="s">
        <v>165</v>
      </c>
      <c r="D38" s="169" t="s">
        <v>166</v>
      </c>
      <c r="E38" s="170">
        <v>45</v>
      </c>
      <c r="F38" s="171">
        <v>142.19999999999999</v>
      </c>
      <c r="G38" s="172">
        <v>6399</v>
      </c>
      <c r="H38" s="171">
        <v>0</v>
      </c>
      <c r="I38" s="172">
        <f>ROUND(E38*H38,2)</f>
        <v>0</v>
      </c>
      <c r="J38" s="171">
        <v>142.19999999999999</v>
      </c>
      <c r="K38" s="172">
        <f>ROUND(E38*J38,2)</f>
        <v>6399</v>
      </c>
      <c r="L38" s="172">
        <v>21</v>
      </c>
      <c r="M38" s="172">
        <f>G38*(1+L38/100)</f>
        <v>7742.79</v>
      </c>
      <c r="N38" s="173">
        <v>5.0000000000000002E-5</v>
      </c>
      <c r="O38" s="173">
        <f>ROUND(E38*N38,5)</f>
        <v>2.2499999999999998E-3</v>
      </c>
      <c r="P38" s="173">
        <v>0</v>
      </c>
      <c r="Q38" s="173">
        <f>ROUND(E38*P38,5)</f>
        <v>0</v>
      </c>
      <c r="R38" s="173"/>
      <c r="S38" s="173"/>
      <c r="T38" s="174">
        <v>0.1</v>
      </c>
      <c r="U38" s="173">
        <f>ROUND(E38*T38,2)</f>
        <v>4.5</v>
      </c>
      <c r="V38" s="175"/>
      <c r="W38" s="175"/>
      <c r="X38" s="175"/>
      <c r="Y38" s="175"/>
      <c r="Z38" s="175"/>
      <c r="AA38" s="175"/>
      <c r="AB38" s="175"/>
      <c r="AC38" s="175"/>
      <c r="AD38" s="175"/>
      <c r="AE38" s="175" t="s">
        <v>112</v>
      </c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x14ac:dyDescent="0.3">
      <c r="A39" s="176" t="s">
        <v>107</v>
      </c>
      <c r="B39" s="177" t="s">
        <v>76</v>
      </c>
      <c r="C39" s="178" t="s">
        <v>77</v>
      </c>
      <c r="D39" s="179"/>
      <c r="E39" s="180"/>
      <c r="F39" s="181"/>
      <c r="G39" s="181">
        <f>SUMIF(AE40:AE41,"&lt;&gt;NOR",G40:G41)</f>
        <v>16153.82</v>
      </c>
      <c r="H39" s="181"/>
      <c r="I39" s="181">
        <f>SUM(I40:I41)</f>
        <v>0</v>
      </c>
      <c r="J39" s="181"/>
      <c r="K39" s="181">
        <f>SUM(K40:K41)</f>
        <v>16153.82</v>
      </c>
      <c r="L39" s="181"/>
      <c r="M39" s="181">
        <f>SUM(M40:M41)</f>
        <v>19546.122199999998</v>
      </c>
      <c r="N39" s="182"/>
      <c r="O39" s="182">
        <f>SUM(O40:O41)</f>
        <v>4.0200000000000001E-3</v>
      </c>
      <c r="P39" s="182"/>
      <c r="Q39" s="182">
        <f>SUM(Q40:Q41)</f>
        <v>0</v>
      </c>
      <c r="R39" s="182"/>
      <c r="S39" s="182"/>
      <c r="T39" s="183"/>
      <c r="U39" s="182">
        <f>SUM(U40:U41)</f>
        <v>4.7699999999999996</v>
      </c>
      <c r="AE39" t="s">
        <v>108</v>
      </c>
    </row>
    <row r="40" spans="1:60" ht="22.5" outlineLevel="1" x14ac:dyDescent="0.3">
      <c r="A40" s="166">
        <v>27</v>
      </c>
      <c r="B40" s="167" t="s">
        <v>167</v>
      </c>
      <c r="C40" s="168" t="s">
        <v>168</v>
      </c>
      <c r="D40" s="169" t="s">
        <v>117</v>
      </c>
      <c r="E40" s="170">
        <v>24</v>
      </c>
      <c r="F40" s="171">
        <v>278.70999999999998</v>
      </c>
      <c r="G40" s="172">
        <v>6689.04</v>
      </c>
      <c r="H40" s="171">
        <v>0</v>
      </c>
      <c r="I40" s="172">
        <f>ROUND(E40*H40,2)</f>
        <v>0</v>
      </c>
      <c r="J40" s="171">
        <v>278.70999999999998</v>
      </c>
      <c r="K40" s="172">
        <f>ROUND(E40*J40,2)</f>
        <v>6689.04</v>
      </c>
      <c r="L40" s="172">
        <v>21</v>
      </c>
      <c r="M40" s="172">
        <f>G40*(1+L40/100)</f>
        <v>8093.7383999999993</v>
      </c>
      <c r="N40" s="173">
        <v>6.9999999999999994E-5</v>
      </c>
      <c r="O40" s="173">
        <f>ROUND(E40*N40,5)</f>
        <v>1.6800000000000001E-3</v>
      </c>
      <c r="P40" s="173">
        <v>0</v>
      </c>
      <c r="Q40" s="173">
        <f>ROUND(E40*P40,5)</f>
        <v>0</v>
      </c>
      <c r="R40" s="173"/>
      <c r="S40" s="173"/>
      <c r="T40" s="174">
        <v>8.6999999999999994E-2</v>
      </c>
      <c r="U40" s="173">
        <f>ROUND(E40*T40,2)</f>
        <v>2.09</v>
      </c>
      <c r="V40" s="175"/>
      <c r="W40" s="175"/>
      <c r="X40" s="175"/>
      <c r="Y40" s="175"/>
      <c r="Z40" s="175"/>
      <c r="AA40" s="175"/>
      <c r="AB40" s="175"/>
      <c r="AC40" s="175"/>
      <c r="AD40" s="175"/>
      <c r="AE40" s="175" t="s">
        <v>112</v>
      </c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ht="22.5" outlineLevel="1" x14ac:dyDescent="0.3">
      <c r="A41" s="166">
        <v>28</v>
      </c>
      <c r="B41" s="167" t="s">
        <v>169</v>
      </c>
      <c r="C41" s="168" t="s">
        <v>170</v>
      </c>
      <c r="D41" s="169" t="s">
        <v>117</v>
      </c>
      <c r="E41" s="170">
        <v>26</v>
      </c>
      <c r="F41" s="171">
        <v>364.03</v>
      </c>
      <c r="G41" s="172">
        <v>9464.7800000000007</v>
      </c>
      <c r="H41" s="171">
        <v>0</v>
      </c>
      <c r="I41" s="172">
        <f>ROUND(E41*H41,2)</f>
        <v>0</v>
      </c>
      <c r="J41" s="171">
        <v>364.03</v>
      </c>
      <c r="K41" s="172">
        <f>ROUND(E41*J41,2)</f>
        <v>9464.7800000000007</v>
      </c>
      <c r="L41" s="172">
        <v>21</v>
      </c>
      <c r="M41" s="172">
        <f>G41*(1+L41/100)</f>
        <v>11452.3838</v>
      </c>
      <c r="N41" s="173">
        <v>9.0000000000000006E-5</v>
      </c>
      <c r="O41" s="173">
        <f>ROUND(E41*N41,5)</f>
        <v>2.3400000000000001E-3</v>
      </c>
      <c r="P41" s="173">
        <v>0</v>
      </c>
      <c r="Q41" s="173">
        <f>ROUND(E41*P41,5)</f>
        <v>0</v>
      </c>
      <c r="R41" s="173"/>
      <c r="S41" s="173"/>
      <c r="T41" s="174">
        <v>0.10299999999999999</v>
      </c>
      <c r="U41" s="173">
        <f>ROUND(E41*T41,2)</f>
        <v>2.68</v>
      </c>
      <c r="V41" s="175"/>
      <c r="W41" s="175"/>
      <c r="X41" s="175"/>
      <c r="Y41" s="175"/>
      <c r="Z41" s="175"/>
      <c r="AA41" s="175"/>
      <c r="AB41" s="175"/>
      <c r="AC41" s="175"/>
      <c r="AD41" s="175"/>
      <c r="AE41" s="175" t="s">
        <v>112</v>
      </c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x14ac:dyDescent="0.3">
      <c r="A42" s="176" t="s">
        <v>107</v>
      </c>
      <c r="B42" s="177" t="s">
        <v>35</v>
      </c>
      <c r="C42" s="178" t="s">
        <v>36</v>
      </c>
      <c r="D42" s="179"/>
      <c r="E42" s="180"/>
      <c r="F42" s="181"/>
      <c r="G42" s="181">
        <f>SUMIF(AE43,"&lt;&gt;NOR",G43)</f>
        <v>9100.7999999999993</v>
      </c>
      <c r="H42" s="181"/>
      <c r="I42" s="181">
        <f>SUM(I43)</f>
        <v>0</v>
      </c>
      <c r="J42" s="181"/>
      <c r="K42" s="181">
        <f>SUM(K43)</f>
        <v>9100.7999999999993</v>
      </c>
      <c r="L42" s="181"/>
      <c r="M42" s="181">
        <f>SUM(M43)</f>
        <v>11011.967999999999</v>
      </c>
      <c r="N42" s="182"/>
      <c r="O42" s="182">
        <f>SUM(O43)</f>
        <v>0</v>
      </c>
      <c r="P42" s="182"/>
      <c r="Q42" s="182">
        <f>SUM(Q43)</f>
        <v>0</v>
      </c>
      <c r="R42" s="182"/>
      <c r="S42" s="182"/>
      <c r="T42" s="183"/>
      <c r="U42" s="182">
        <f>SUM(U43)</f>
        <v>0</v>
      </c>
      <c r="AE42" t="s">
        <v>108</v>
      </c>
    </row>
    <row r="43" spans="1:60" outlineLevel="1" x14ac:dyDescent="0.3">
      <c r="A43" s="184">
        <v>29</v>
      </c>
      <c r="B43" s="185" t="s">
        <v>171</v>
      </c>
      <c r="C43" s="186" t="s">
        <v>172</v>
      </c>
      <c r="D43" s="187" t="s">
        <v>23</v>
      </c>
      <c r="E43" s="188">
        <v>1</v>
      </c>
      <c r="F43" s="189">
        <v>9100.7999999999993</v>
      </c>
      <c r="G43" s="190">
        <v>9100.7999999999993</v>
      </c>
      <c r="H43" s="189">
        <v>0</v>
      </c>
      <c r="I43" s="190">
        <f>ROUND(E43*H43,2)</f>
        <v>0</v>
      </c>
      <c r="J43" s="189">
        <v>9100.7999999999993</v>
      </c>
      <c r="K43" s="190">
        <f>ROUND(E43*J43,2)</f>
        <v>9100.7999999999993</v>
      </c>
      <c r="L43" s="190">
        <v>21</v>
      </c>
      <c r="M43" s="190">
        <f>G43*(1+L43/100)</f>
        <v>11011.967999999999</v>
      </c>
      <c r="N43" s="191">
        <v>0</v>
      </c>
      <c r="O43" s="191">
        <f>ROUND(E43*N43,5)</f>
        <v>0</v>
      </c>
      <c r="P43" s="191">
        <v>0</v>
      </c>
      <c r="Q43" s="191">
        <f>ROUND(E43*P43,5)</f>
        <v>0</v>
      </c>
      <c r="R43" s="191"/>
      <c r="S43" s="191"/>
      <c r="T43" s="192">
        <v>0</v>
      </c>
      <c r="U43" s="191">
        <f>ROUND(E43*T43,2)</f>
        <v>0</v>
      </c>
      <c r="V43" s="175"/>
      <c r="W43" s="175"/>
      <c r="X43" s="175"/>
      <c r="Y43" s="175"/>
      <c r="Z43" s="175"/>
      <c r="AA43" s="175"/>
      <c r="AB43" s="175"/>
      <c r="AC43" s="175"/>
      <c r="AD43" s="175"/>
      <c r="AE43" s="175" t="s">
        <v>112</v>
      </c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x14ac:dyDescent="0.3">
      <c r="A44" s="136"/>
      <c r="B44" s="140" t="s">
        <v>173</v>
      </c>
      <c r="C44" s="193" t="s">
        <v>173</v>
      </c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AC44">
        <v>15</v>
      </c>
      <c r="AD44">
        <v>21</v>
      </c>
    </row>
    <row r="45" spans="1:60" x14ac:dyDescent="0.3">
      <c r="A45" s="194"/>
      <c r="B45" s="195">
        <v>26</v>
      </c>
      <c r="C45" s="196" t="s">
        <v>173</v>
      </c>
      <c r="D45" s="197"/>
      <c r="E45" s="197"/>
      <c r="F45" s="197"/>
      <c r="G45" s="198">
        <f>G8+G10+G12+G17+G37+G39+G42</f>
        <v>100106.33999999998</v>
      </c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AC45">
        <f>SUMIF(L7:L43,AC44,G7:G43)</f>
        <v>0</v>
      </c>
      <c r="AD45">
        <f>SUMIF(L7:L43,AD44,G7:G43)</f>
        <v>100106.34</v>
      </c>
      <c r="AE45" t="s">
        <v>174</v>
      </c>
    </row>
    <row r="46" spans="1:60" x14ac:dyDescent="0.3">
      <c r="A46" s="136"/>
      <c r="B46" s="140" t="s">
        <v>173</v>
      </c>
      <c r="C46" s="193" t="s">
        <v>173</v>
      </c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</row>
    <row r="47" spans="1:60" x14ac:dyDescent="0.3">
      <c r="A47" s="136"/>
      <c r="B47" s="140" t="s">
        <v>173</v>
      </c>
      <c r="C47" s="193" t="s">
        <v>173</v>
      </c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</row>
    <row r="48" spans="1:60" x14ac:dyDescent="0.3">
      <c r="A48" s="272">
        <v>33</v>
      </c>
      <c r="B48" s="272"/>
      <c r="C48" s="273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</row>
    <row r="49" spans="1:31" x14ac:dyDescent="0.3">
      <c r="A49" s="253"/>
      <c r="B49" s="254"/>
      <c r="C49" s="255"/>
      <c r="D49" s="254"/>
      <c r="E49" s="254"/>
      <c r="F49" s="254"/>
      <c r="G49" s="25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AE49" t="s">
        <v>175</v>
      </c>
    </row>
    <row r="50" spans="1:31" x14ac:dyDescent="0.3">
      <c r="A50" s="257"/>
      <c r="B50" s="258"/>
      <c r="C50" s="259"/>
      <c r="D50" s="258"/>
      <c r="E50" s="258"/>
      <c r="F50" s="258"/>
      <c r="G50" s="260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</row>
    <row r="51" spans="1:31" x14ac:dyDescent="0.3">
      <c r="A51" s="257"/>
      <c r="B51" s="258"/>
      <c r="C51" s="259"/>
      <c r="D51" s="258"/>
      <c r="E51" s="258"/>
      <c r="F51" s="258"/>
      <c r="G51" s="260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</row>
    <row r="52" spans="1:31" x14ac:dyDescent="0.3">
      <c r="A52" s="257"/>
      <c r="B52" s="258"/>
      <c r="C52" s="259"/>
      <c r="D52" s="258"/>
      <c r="E52" s="258"/>
      <c r="F52" s="258"/>
      <c r="G52" s="260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</row>
    <row r="53" spans="1:31" x14ac:dyDescent="0.3">
      <c r="A53" s="261"/>
      <c r="B53" s="262"/>
      <c r="C53" s="263"/>
      <c r="D53" s="262"/>
      <c r="E53" s="262"/>
      <c r="F53" s="262"/>
      <c r="G53" s="264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</row>
    <row r="54" spans="1:31" x14ac:dyDescent="0.3">
      <c r="A54" s="136"/>
      <c r="B54" s="140" t="s">
        <v>173</v>
      </c>
      <c r="C54" s="193" t="s">
        <v>173</v>
      </c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</row>
    <row r="55" spans="1:31" x14ac:dyDescent="0.3">
      <c r="C55" s="199"/>
      <c r="AE55" t="s">
        <v>176</v>
      </c>
    </row>
  </sheetData>
  <mergeCells count="6">
    <mergeCell ref="A49:G53"/>
    <mergeCell ref="A1:G1"/>
    <mergeCell ref="C2:G2"/>
    <mergeCell ref="C3:G3"/>
    <mergeCell ref="C4:G4"/>
    <mergeCell ref="A48:C48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Žlebčík Mojmír - Raeder&amp;Falge</cp:lastModifiedBy>
  <cp:lastPrinted>2014-02-28T09:52:57Z</cp:lastPrinted>
  <dcterms:created xsi:type="dcterms:W3CDTF">2009-04-08T07:15:50Z</dcterms:created>
  <dcterms:modified xsi:type="dcterms:W3CDTF">2021-04-23T08:46:12Z</dcterms:modified>
</cp:coreProperties>
</file>